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E5" i="5"/>
  <c r="P3" i="4"/>
  <c r="C4" i="5"/>
  <c r="F69" i="6"/>
  <c r="D4" i="5"/>
  <c r="E4" i="5"/>
  <c r="V6" i="5"/>
  <c r="E6" i="5"/>
  <c r="V7" i="5"/>
  <c r="E7" i="5"/>
  <c r="V8"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<sst xmlns="http://schemas.openxmlformats.org/spreadsheetml/2006/main" count="22155" uniqueCount="15669">
  <si>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</si>
  <si>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</si>
  <si>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</si>
  <si>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</si>
  <si>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</si>
  <si>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</si>
  <si>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</si>
  <si>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</si>
  <si>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</si>
  <si>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</si>
  <si>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</si>
  <si>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</si>
  <si>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</si>
  <si>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</si>
  <si>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</si>
  <si>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</si>
  <si>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</si>
  <si>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</si>
  <si>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</si>
  <si>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</si>
  <si>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</si>
  <si>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</si>
  <si>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</si>
  <si>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</si>
  <si>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</si>
  <si>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</si>
  <si>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</si>
  <si>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</si>
  <si>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</si>
  <si>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</si>
  <si>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</si>
  <si>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</si>
  <si>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</si>
  <si>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</si>
  <si>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</si>
  <si>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</si>
  <si>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</si>
  <si>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</si>
  <si>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</si>
  <si>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</si>
  <si>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</si>
  <si>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</si>
  <si>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</si>
  <si>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</si>
  <si>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</si>
  <si>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</si>
  <si>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</si>
  <si>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</si>
  <si>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</si>
  <si>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</si>
  <si>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</si>
  <si>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</si>
  <si>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</si>
  <si>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</si>
  <si>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</si>
  <si>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</si>
  <si>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</si>
  <si>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</si>
  <si>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</si>
  <si>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</si>
  <si>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</si>
  <si>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</si>
  <si>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</si>
  <si>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</si>
  <si>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</si>
  <si>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</si>
  <si>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</si>
  <si>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</si>
  <si>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</si>
  <si>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</si>
  <si>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</si>
  <si>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</si>
  <si>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</si>
  <si>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</si>
  <si>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</si>
  <si>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</si>
  <si>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</si>
  <si>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</si>
  <si>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</si>
  <si>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</si>
  <si>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</si>
  <si>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</si>
  <si>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</si>
  <si>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</si>
  <si>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</si>
  <si>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</si>
  <si>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</si>
  <si>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</si>
  <si>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</si>
  <si>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</si>
  <si>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</si>
  <si>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</si>
  <si>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</si>
  <si>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</si>
  <si>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</si>
  <si>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</si>
  <si>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</si>
  <si>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</si>
  <si>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</si>
  <si>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</si>
  <si>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</si>
  <si>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</si>
  <si>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</si>
  <si>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</si>
  <si>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</si>
  <si>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</si>
  <si>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</si>
  <si>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</si>
  <si>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</si>
  <si>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</si>
  <si>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</si>
  <si>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</si>
  <si>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</si>
  <si>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</si>
  <si>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</si>
  <si>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</si>
  <si>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</si>
  <si>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</si>
  <si>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</si>
  <si>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</si>
  <si>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</si>
  <si>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</si>
  <si>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</si>
  <si>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</si>
  <si>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</si>
  <si>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</si>
  <si>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</si>
  <si>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</si>
  <si>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</si>
  <si>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</si>
  <si>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</si>
  <si>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</si>
  <si>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</si>
  <si>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</si>
  <si>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</si>
  <si>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</si>
  <si>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</si>
  <si>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</si>
  <si>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</si>
  <si>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</si>
  <si>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</si>
  <si>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</si>
  <si>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</si>
  <si>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</si>
  <si>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</si>
  <si>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</si>
  <si>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</si>
  <si>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</si>
  <si>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</si>
  <si>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</si>
  <si>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</si>
  <si>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</si>
  <si>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</si>
  <si>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</si>
  <si>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</si>
  <si>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</si>
  <si>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</si>
  <si>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</si>
  <si>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</si>
  <si>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</si>
  <si>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</si>
  <si>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</si>
  <si>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</si>
  <si>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</si>
  <si>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</si>
  <si>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</si>
  <si>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</si>
  <si>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</si>
  <si>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</si>
  <si>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</si>
  <si>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</si>
  <si>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</si>
  <si>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</si>
  <si>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</si>
  <si>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</si>
  <si>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</si>
  <si>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</si>
  <si>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</si>
  <si>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</si>
  <si>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</si>
  <si>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</si>
  <si>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</si>
  <si>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</si>
  <si>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</si>
  <si>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</si>
  <si>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</si>
  <si>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</si>
  <si>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</si>
  <si>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</si>
  <si>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</si>
  <si>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</si>
  <si>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</si>
  <si>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</si>
  <si>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</si>
  <si>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</si>
  <si>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</si>
  <si>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</si>
  <si>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</si>
  <si>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</si>
  <si>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</si>
  <si>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</si>
  <si>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</si>
  <si>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</si>
  <si>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</si>
  <si>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</si>
  <si>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</si>
  <si>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</si>
  <si>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</si>
  <si>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</si>
  <si>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</si>
  <si>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</si>
  <si>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</si>
  <si>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</si>
  <si>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</si>
  <si>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</si>
  <si>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</si>
  <si>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</si>
  <si>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</si>
  <si>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</si>
  <si>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</si>
  <si>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</si>
  <si>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</si>
  <si>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</si>
  <si>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</si>
  <si>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</si>
  <si>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</si>
  <si>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</si>
  <si>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</si>
  <si>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</si>
  <si>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</si>
  <si>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</si>
  <si>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</si>
  <si>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</si>
  <si>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</si>
  <si>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</si>
  <si>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</si>
  <si>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</si>
  <si>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</si>
  <si>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</si>
  <si>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</si>
  <si>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</si>
  <si>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</si>
  <si>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</si>
  <si>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</si>
  <si>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</si>
  <si>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</si>
  <si>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</si>
  <si>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</si>
  <si>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</si>
  <si>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</si>
  <si>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</si>
  <si>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</si>
  <si>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</si>
  <si>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</si>
  <si>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</si>
  <si>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</si>
  <si>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</si>
  <si>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</si>
  <si>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</si>
  <si>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</si>
  <si>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</si>
  <si>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</si>
  <si>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</si>
  <si>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</si>
  <si>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</si>
  <si>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</si>
  <si>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</si>
  <si>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</si>
  <si>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</si>
  <si>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</si>
  <si>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</si>
  <si>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</si>
  <si>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</si>
  <si>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</si>
  <si>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</si>
  <si>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</si>
  <si>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</si>
  <si>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</si>
  <si>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</si>
  <si>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</si>
  <si>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</si>
  <si>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</si>
  <si>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</si>
  <si>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</si>
  <si>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</si>
  <si>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</si>
  <si>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</si>
  <si>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</si>
  <si>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</si>
  <si>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</si>
  <si>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</si>
  <si>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</si>
  <si>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</si>
  <si>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</si>
  <si>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</si>
  <si>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</si>
  <si>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</si>
  <si>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</si>
  <si>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</si>
  <si>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</si>
  <si>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</si>
  <si>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</si>
  <si>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</si>
  <si>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</si>
  <si>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</si>
  <si>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</si>
  <si>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</si>
  <si>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</si>
  <si>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</si>
  <si>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</si>
  <si>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</si>
  <si>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</si>
  <si>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</si>
  <si>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</si>
  <si>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</si>
  <si>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</si>
  <si>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</si>
  <si>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</si>
  <si>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</si>
  <si>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</si>
  <si>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</si>
  <si>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</si>
  <si>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</si>
  <si>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</si>
  <si>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</si>
  <si>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</si>
  <si>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</si>
  <si>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</si>
  <si>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</si>
  <si>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</si>
  <si>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</si>
  <si>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</si>
  <si>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</si>
  <si>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</si>
  <si>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</si>
  <si>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</si>
  <si>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</si>
  <si>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</si>
  <si>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</si>
  <si>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</si>
  <si>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</si>
  <si>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</si>
  <si>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</si>
  <si>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</si>
  <si>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</si>
  <si>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</si>
  <si>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</si>
  <si>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</si>
  <si>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</si>
  <si>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</si>
  <si>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</si>
  <si>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</si>
  <si>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</si>
  <si>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</si>
  <si>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</si>
  <si>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</si>
  <si>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</si>
  <si>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</si>
  <si>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</si>
  <si>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</si>
  <si>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</si>
  <si>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</si>
  <si>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</si>
  <si>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</si>
  <si>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</si>
  <si>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</si>
  <si>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</si>
  <si>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</si>
  <si>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</si>
  <si>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</si>
  <si>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</si>
  <si>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</si>
  <si>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</si>
  <si>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</si>
  <si>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</si>
  <si>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</si>
  <si>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</si>
  <si>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</si>
  <si>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</si>
  <si>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</si>
  <si>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</si>
  <si>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</si>
  <si>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</si>
  <si>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</si>
  <si>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</si>
  <si>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</si>
  <si>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</si>
  <si>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</si>
  <si>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</si>
  <si>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</si>
  <si>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</si>
  <si>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</si>
  <si>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</si>
  <si>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</si>
  <si>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</si>
  <si>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</si>
  <si>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</si>
  <si>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</si>
  <si>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</si>
  <si>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</si>
  <si>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</si>
  <si>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</si>
  <si>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</si>
  <si>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</si>
  <si>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</si>
  <si>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</si>
  <si>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</si>
  <si>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</si>
  <si>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</si>
  <si>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</si>
  <si>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</si>
  <si>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</si>
  <si>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</si>
  <si>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</si>
  <si>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</si>
  <si>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</si>
  <si>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</si>
  <si>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</si>
  <si>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</si>
  <si>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</si>
  <si>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</si>
  <si>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</si>
  <si>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</si>
  <si>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</si>
  <si>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</si>
  <si>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</si>
  <si>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</si>
  <si>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</si>
  <si>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</si>
  <si>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</si>
  <si>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</si>
  <si>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</si>
  <si>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</si>
  <si>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</si>
  <si>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</si>
  <si>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</si>
  <si>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</si>
  <si>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</si>
  <si>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</si>
  <si>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</si>
  <si>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</si>
  <si>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</si>
  <si>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</si>
  <si>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</si>
  <si>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</si>
  <si>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</si>
  <si>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</si>
  <si>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</si>
  <si>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</si>
  <si>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</si>
  <si>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</si>
  <si>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</si>
  <si>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</si>
  <si>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</si>
  <si>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</si>
  <si>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</si>
  <si>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</si>
  <si>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</si>
  <si>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</si>
  <si>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</si>
  <si>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</si>
  <si>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</si>
  <si>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</si>
  <si>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</si>
  <si>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</si>
  <si>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</si>
  <si>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</si>
  <si>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</si>
  <si>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</si>
  <si>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</si>
  <si>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</si>
  <si>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</si>
  <si>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</si>
  <si>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</si>
  <si>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</si>
  <si>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</si>
  <si>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</si>
  <si>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</si>
  <si>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</si>
  <si>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</si>
  <si>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</si>
  <si>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</si>
  <si>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</si>
  <si>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</si>
  <si>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</si>
  <si>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</si>
  <si>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</si>
  <si>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</si>
  <si>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</si>
  <si>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</si>
  <si>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</si>
  <si>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</si>
  <si>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</si>
  <si>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</si>
  <si>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</si>
  <si>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</si>
  <si>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</si>
  <si>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</si>
  <si>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</si>
  <si>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</si>
  <si>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</si>
  <si>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</si>
  <si>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</si>
  <si>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</si>
  <si>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</si>
  <si>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</si>
  <si>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</si>
  <si>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</si>
  <si>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</si>
  <si>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</si>
  <si>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</si>
  <si>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</si>
  <si>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</si>
  <si>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</si>
  <si>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</si>
  <si>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</si>
  <si>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</si>
  <si>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</si>
  <si>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</si>
  <si>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</si>
  <si>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</si>
  <si>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</si>
  <si>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</si>
  <si>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</si>
  <si>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</si>
  <si>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</si>
  <si>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</si>
  <si>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</si>
  <si>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</si>
  <si>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</si>
  <si>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</si>
  <si>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</si>
  <si>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</si>
  <si>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</si>
  <si>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</si>
  <si>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</si>
  <si>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</si>
  <si>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</si>
  <si>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</si>
  <si>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</si>
  <si>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</si>
  <si>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</si>
  <si>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</si>
  <si>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</si>
  <si>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</si>
  <si>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</si>
  <si>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</si>
  <si>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</si>
  <si>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</si>
  <si>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</si>
  <si>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</si>
  <si>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</si>
  <si>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</si>
  <si>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</si>
  <si>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</si>
  <si>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</si>
  <si>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</si>
  <si>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</si>
  <si>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</si>
  <si>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</si>
  <si>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</si>
  <si>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</si>
  <si>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</si>
  <si>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</si>
  <si>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</si>
  <si>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</si>
  <si>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</si>
  <si>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</si>
  <si>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</si>
  <si>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</si>
  <si>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</si>
  <si>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</si>
  <si>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</si>
  <si>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</si>
  <si>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</si>
  <si>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</si>
  <si>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</si>
  <si>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</si>
  <si>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</si>
  <si>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</si>
  <si>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</si>
  <si>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</si>
  <si>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</si>
  <si>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</si>
  <si>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</si>
  <si>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</si>
  <si>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</si>
  <si>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</si>
  <si>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</si>
  <si>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</si>
  <si>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</si>
  <si>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</si>
  <si>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</si>
  <si>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</si>
  <si>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</si>
  <si>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</si>
  <si>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</si>
  <si>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</si>
  <si>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</si>
  <si>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</si>
  <si>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</si>
  <si>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</si>
  <si>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</si>
  <si>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</si>
  <si>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</si>
  <si>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</si>
  <si>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</si>
  <si>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</si>
  <si>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</si>
  <si>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</si>
  <si>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</si>
  <si>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</si>
  <si>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</si>
  <si>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</si>
  <si>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</si>
  <si>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</si>
  <si>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</si>
  <si>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</si>
  <si>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</si>
  <si>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</si>
  <si>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</si>
  <si>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</si>
  <si>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</si>
  <si>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</si>
  <si>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</si>
  <si>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</si>
  <si>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</si>
  <si>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</si>
  <si>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</si>
  <si>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</si>
  <si>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</si>
  <si>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</si>
  <si>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</si>
  <si>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</si>
  <si>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</si>
  <si>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</si>
  <si>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</si>
  <si>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</si>
  <si>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</si>
  <si>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</si>
  <si>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</si>
  <si>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</si>
  <si>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</si>
  <si>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</si>
  <si>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</si>
  <si>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</si>
  <si>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</si>
  <si>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</si>
  <si>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</si>
  <si>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</si>
  <si>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</si>
  <si>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</si>
  <si>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</si>
  <si>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</si>
  <si>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</si>
  <si>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</si>
  <si>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</si>
  <si>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</si>
  <si>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</si>
  <si>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</si>
  <si>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</si>
  <si>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</si>
  <si>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</si>
  <si>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</si>
  <si>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</si>
  <si>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</si>
  <si>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</si>
  <si>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</si>
  <si>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</si>
  <si>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</si>
  <si>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</si>
  <si>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</si>
  <si>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</si>
  <si>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</si>
  <si>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</si>
  <si>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</si>
  <si>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</si>
  <si>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</si>
  <si>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</si>
  <si>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</si>
  <si>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</si>
  <si>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</si>
  <si>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</si>
  <si>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</si>
  <si>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</si>
  <si>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</si>
  <si>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</si>
  <si>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</si>
  <si>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</si>
  <si>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</si>
  <si>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</si>
  <si>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</si>
  <si>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</si>
  <si>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</si>
  <si>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</si>
  <si>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</si>
  <si>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</si>
  <si>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</si>
  <si>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</si>
  <si>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</si>
  <si>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</si>
  <si>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</si>
  <si>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</si>
  <si>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</si>
  <si>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</si>
  <si>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</si>
  <si>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</si>
  <si>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</si>
  <si>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</si>
  <si>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</si>
  <si>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</si>
  <si>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</si>
  <si>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</si>
  <si>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</si>
  <si>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</si>
  <si>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</si>
  <si>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</si>
  <si>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</si>
  <si>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</si>
  <si>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</si>
  <si>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</si>
  <si>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</si>
  <si>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</si>
  <si>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</si>
  <si>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</si>
  <si>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</si>
  <si>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</si>
  <si>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</si>
  <si>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</si>
  <si>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</si>
  <si>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</si>
  <si>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</si>
  <si>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</si>
  <si>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</si>
  <si>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</si>
  <si>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</si>
  <si>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</si>
  <si>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</si>
  <si>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</si>
  <si>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</si>
  <si>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</si>
  <si>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</si>
  <si>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</si>
  <si>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</si>
  <si>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</si>
  <si>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</si>
  <si>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</si>
  <si>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</si>
  <si>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</si>
  <si>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</si>
  <si>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</si>
  <si>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</si>
  <si>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</si>
  <si>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</si>
  <si>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</si>
  <si>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</si>
  <si>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</si>
  <si>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</si>
  <si>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</si>
  <si>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</si>
  <si>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</si>
  <si>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</si>
  <si>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</si>
  <si>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</si>
  <si>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</si>
  <si>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</si>
  <si>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</si>
  <si>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</si>
  <si>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</si>
  <si>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</si>
  <si>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</si>
  <si>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</si>
  <si>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</si>
  <si>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</si>
  <si>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</si>
  <si>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</si>
  <si>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</si>
  <si>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</si>
  <si>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</si>
  <si>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</si>
  <si>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</si>
  <si>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</si>
  <si>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</si>
  <si>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</si>
  <si>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</si>
  <si>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</si>
  <si>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</si>
  <si>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</si>
  <si>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</si>
  <si>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</si>
  <si>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</si>
  <si>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</si>
  <si>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</si>
  <si>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</si>
  <si>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</si>
  <si>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</si>
  <si>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</si>
  <si>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</si>
  <si>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</si>
  <si>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</si>
  <si>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</si>
  <si>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</si>
  <si>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</si>
  <si>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</si>
  <si>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</si>
  <si>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</si>
  <si>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</si>
  <si>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</si>
  <si>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</si>
  <si>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</si>
  <si>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</si>
  <si>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</si>
  <si>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</si>
  <si>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</si>
  <si>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</si>
  <si>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</si>
  <si>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</si>
  <si>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</si>
  <si>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</si>
  <si>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</si>
  <si>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</si>
  <si>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</si>
  <si>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</si>
  <si>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</si>
  <si>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</si>
  <si>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</si>
  <si>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</si>
  <si>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</si>
  <si>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</si>
  <si>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</si>
  <si>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</si>
  <si>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</si>
  <si>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</si>
  <si>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</si>
  <si>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</si>
  <si>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</si>
  <si>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</si>
  <si>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</si>
  <si>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</si>
  <si>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</si>
  <si>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</si>
  <si>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</si>
  <si>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</si>
  <si>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</si>
  <si>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</si>
  <si>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</si>
  <si>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</si>
  <si>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</si>
  <si>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</si>
  <si>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</si>
  <si>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</si>
  <si>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</si>
  <si>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</si>
  <si>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</si>
  <si>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</si>
  <si>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</si>
  <si>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</si>
  <si>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</si>
  <si>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</si>
  <si>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</si>
  <si>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</si>
  <si>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</si>
  <si>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</si>
  <si>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</si>
  <si>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</si>
  <si>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</si>
  <si>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</si>
  <si>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</si>
  <si>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</si>
  <si>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</si>
  <si>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</si>
  <si>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</si>
  <si>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</si>
  <si>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</si>
  <si>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</si>
  <si>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</si>
  <si>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</si>
  <si>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</si>
  <si>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</si>
  <si>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</si>
  <si>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</si>
  <si>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</si>
  <si>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</si>
  <si>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</si>
  <si>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</si>
  <si>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</si>
  <si>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</si>
  <si>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</si>
  <si>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</si>
  <si>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</si>
  <si>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</si>
  <si>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</si>
  <si>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</si>
  <si>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</si>
  <si>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</si>
  <si>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</si>
  <si>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</si>
  <si>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</si>
  <si>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</si>
  <si>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</si>
  <si>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</si>
  <si>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</si>
  <si>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</si>
  <si>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</si>
  <si>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</si>
  <si>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</si>
  <si>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</si>
  <si>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</si>
  <si>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</si>
  <si>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</si>
  <si>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</si>
  <si>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</si>
  <si>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</si>
  <si>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</si>
  <si>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</si>
  <si>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</si>
  <si>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</si>
  <si>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</si>
  <si>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</si>
  <si>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</si>
  <si>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</si>
  <si>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</si>
  <si>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</si>
  <si>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</si>
  <si>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</si>
  <si>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</si>
  <si>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</si>
  <si>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</si>
  <si>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</si>
  <si>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</si>
  <si>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</si>
  <si>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</si>
  <si>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</si>
  <si>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</si>
  <si>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</si>
  <si>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</si>
  <si>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</si>
  <si>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</si>
  <si>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</si>
  <si>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</si>
  <si>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</si>
  <si>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</si>
  <si>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</si>
  <si>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</si>
  <si>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</si>
  <si>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</si>
  <si>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</si>
  <si>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</si>
  <si>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</si>
  <si>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</si>
  <si>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</si>
  <si>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</si>
  <si>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</si>
  <si>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</si>
  <si>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</si>
  <si>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</si>
  <si>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</si>
  <si>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</si>
  <si>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</si>
  <si>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</si>
  <si>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</si>
  <si>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</si>
  <si>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</si>
  <si>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</si>
  <si>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</si>
  <si>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</si>
  <si>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</si>
  <si>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</si>
  <si>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</si>
  <si>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</si>
  <si>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</si>
  <si>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</si>
  <si>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</si>
  <si>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</si>
  <si>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</si>
  <si>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</si>
  <si>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</si>
  <si>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</si>
  <si>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</si>
  <si>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</si>
  <si>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</si>
  <si>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</si>
  <si>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</si>
  <si>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</si>
  <si>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</si>
  <si>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</si>
  <si>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</si>
  <si>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</si>
  <si>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</si>
  <si>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</si>
  <si>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</si>
  <si>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</si>
  <si>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</si>
  <si>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</si>
  <si>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</si>
  <si>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</si>
  <si>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</si>
  <si>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</si>
  <si>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</si>
  <si>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</si>
  <si>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</si>
  <si>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</si>
  <si>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</si>
  <si>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</si>
  <si>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</si>
  <si>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</si>
  <si>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</si>
  <si>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</si>
  <si>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</si>
  <si>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</si>
  <si>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</si>
  <si>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</si>
  <si>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</si>
  <si>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</si>
  <si>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</si>
  <si>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</si>
  <si>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</si>
  <si>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</si>
  <si>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</si>
  <si>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</si>
  <si>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</si>
  <si>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</si>
  <si>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</si>
  <si>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</si>
  <si>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</si>
  <si>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</si>
  <si>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</si>
  <si>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</si>
  <si>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</si>
  <si>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</si>
  <si>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</si>
  <si>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</si>
  <si>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</si>
  <si>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</si>
  <si>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</si>
  <si>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</si>
  <si>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</si>
  <si>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</si>
  <si>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</si>
  <si>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</si>
  <si>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</si>
  <si>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</si>
  <si>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</si>
  <si>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</si>
  <si>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</si>
  <si>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</si>
  <si>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</si>
  <si>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</si>
  <si>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</si>
  <si>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</si>
  <si>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</si>
  <si>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</si>
  <si>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</si>
  <si>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</si>
  <si>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</si>
  <si>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</si>
  <si>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</si>
  <si>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</si>
  <si>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</si>
  <si>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</si>
  <si>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</si>
  <si>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</si>
  <si>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</si>
  <si>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</si>
  <si>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</si>
  <si>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</si>
  <si>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</si>
  <si>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</si>
  <si>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</si>
  <si>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</si>
  <si>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</si>
  <si>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</si>
  <si>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</si>
  <si>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</si>
  <si>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</si>
  <si>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</si>
  <si>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</si>
  <si>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</si>
  <si>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</si>
  <si>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</si>
  <si>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</si>
  <si>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</si>
  <si>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</si>
  <si>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</si>
  <si>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</si>
  <si>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</si>
  <si>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</si>
  <si>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</si>
  <si>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</si>
  <si>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</si>
  <si>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</si>
  <si>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</si>
  <si>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</si>
  <si>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</si>
  <si>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</si>
  <si>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</si>
  <si>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</si>
  <si>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</si>
  <si>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</si>
  <si>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</si>
  <si>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</si>
  <si>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</si>
  <si>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</si>
  <si>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</si>
  <si>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</si>
  <si>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</si>
  <si>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</si>
  <si>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</si>
  <si>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</si>
  <si>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</si>
  <si>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</si>
  <si>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</si>
  <si>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</si>
  <si>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</si>
  <si>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</si>
  <si>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</si>
  <si>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</si>
  <si>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</si>
  <si>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</si>
  <si>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</si>
  <si>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</si>
  <si>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</si>
  <si>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</si>
  <si>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</si>
  <si>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</si>
  <si>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</si>
  <si>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</si>
  <si>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</si>
  <si>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</si>
  <si>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</si>
  <si>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</si>
  <si>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</si>
  <si>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</si>
  <si>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</si>
  <si>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</si>
  <si>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</si>
  <si>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</si>
  <si>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</si>
  <si>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</si>
  <si>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</si>
  <si>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</si>
  <si>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</si>
  <si>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</si>
  <si>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</si>
  <si>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</si>
  <si>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</si>
  <si>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</si>
  <si>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</si>
  <si>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</si>
  <si>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</si>
  <si>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</si>
  <si>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</si>
  <si>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</si>
  <si>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</si>
  <si>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</si>
  <si>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</si>
  <si>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</si>
  <si>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</si>
  <si>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</si>
  <si>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</si>
  <si>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</si>
  <si>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</si>
  <si>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</si>
  <si>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</si>
  <si>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</si>
  <si>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</si>
  <si>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</si>
  <si>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</si>
  <si>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</si>
  <si>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</si>
  <si>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</si>
  <si>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</si>
  <si>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</si>
  <si>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</si>
  <si>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</si>
  <si>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</si>
  <si>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</si>
  <si>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</si>
  <si>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</si>
  <si>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</si>
  <si>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</si>
  <si>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</si>
  <si>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</si>
  <si>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</si>
  <si>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</si>
  <si>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</si>
  <si>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</si>
  <si>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</si>
  <si>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</si>
  <si>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</si>
  <si>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</si>
  <si>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</si>
  <si>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</si>
  <si>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</si>
  <si>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</si>
  <si>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</si>
  <si>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</si>
  <si>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</si>
  <si>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</si>
  <si>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</si>
  <si>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</si>
  <si>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</si>
  <si>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</si>
  <si>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</si>
  <si>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</si>
  <si>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</si>
  <si>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</si>
  <si>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</si>
  <si>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</si>
  <si>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</si>
  <si>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</si>
  <si>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</si>
  <si>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</si>
  <si>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</si>
  <si>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</si>
  <si>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</si>
  <si>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</si>
  <si>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</si>
  <si>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</si>
  <si>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</si>
  <si>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</si>
  <si>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</si>
  <si>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</si>
  <si>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</si>
  <si>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</si>
  <si>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</si>
  <si>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</si>
  <si>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</si>
  <si>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</si>
  <si>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</si>
  <si>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</si>
  <si>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</si>
  <si>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</si>
  <si>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</si>
  <si>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</si>
  <si>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</si>
  <si>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</si>
  <si>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</si>
  <si>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</si>
  <si>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</si>
  <si>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</si>
  <si>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</si>
  <si>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</si>
  <si>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</si>
  <si>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</si>
  <si>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</si>
  <si>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</si>
  <si>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</si>
  <si>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</si>
  <si>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</si>
  <si>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</si>
  <si>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</si>
  <si>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</si>
  <si>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</si>
  <si>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</si>
  <si>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</si>
  <si>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</si>
  <si>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</si>
  <si>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</si>
  <si>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</si>
  <si>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</si>
  <si>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</si>
  <si>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</si>
  <si>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</si>
  <si>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</si>
  <si>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</si>
  <si>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</si>
  <si>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</si>
  <si>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</si>
  <si>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</si>
  <si>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</si>
  <si>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</si>
  <si>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</si>
  <si>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</si>
  <si>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</si>
  <si>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</si>
  <si>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</si>
  <si>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</si>
  <si>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</si>
  <si>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</si>
  <si>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</si>
  <si>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</si>
  <si>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</si>
  <si>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</si>
  <si>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</si>
  <si>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</si>
  <si>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</si>
  <si>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</si>
  <si>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</si>
  <si>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</si>
  <si>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</si>
  <si>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</si>
  <si>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</si>
  <si>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</si>
  <si>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</si>
  <si>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</si>
  <si>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</si>
  <si>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</si>
  <si>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</si>
  <si>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</si>
  <si>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</si>
  <si>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</si>
  <si>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</si>
  <si>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</si>
  <si>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</si>
  <si>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</si>
  <si>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</si>
  <si>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</si>
  <si>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</si>
  <si>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</si>
  <si>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</si>
  <si>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</si>
  <si>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</si>
  <si>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</si>
  <si>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</si>
  <si>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</si>
  <si>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</si>
  <si>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</si>
  <si>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</si>
  <si>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</si>
  <si>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</si>
  <si>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</si>
  <si>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</si>
  <si>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</si>
  <si>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</si>
  <si>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</si>
  <si>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</si>
  <si>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</si>
  <si>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</si>
  <si>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</si>
  <si>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</si>
  <si>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</si>
  <si>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</si>
  <si>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</si>
  <si>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</si>
  <si>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</si>
  <si>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</si>
  <si>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</si>
  <si>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</si>
  <si>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</si>
  <si>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</si>
  <si>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</si>
  <si>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</si>
  <si>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</si>
  <si>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</si>
  <si>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</si>
  <si>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</si>
  <si>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</si>
  <si>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</si>
  <si>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</si>
  <si>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</si>
  <si>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</si>
  <si>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</si>
  <si>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</si>
  <si>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</si>
  <si>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</si>
  <si>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</si>
  <si>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</si>
  <si>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</si>
  <si>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</si>
  <si>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</si>
  <si>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</si>
  <si>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</si>
  <si>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</si>
  <si>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</si>
  <si>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</si>
  <si>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</si>
  <si>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</si>
  <si>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</si>
  <si>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</si>
  <si>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</si>
  <si>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</si>
  <si>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</si>
  <si>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</si>
  <si>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</si>
  <si>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</si>
  <si>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</si>
  <si>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</si>
  <si>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</si>
  <si>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</si>
  <si>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</si>
  <si>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</si>
  <si>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</si>
  <si>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</si>
  <si>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</si>
  <si>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</si>
  <si>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</si>
  <si>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</si>
  <si>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</si>
  <si>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</si>
  <si>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</si>
  <si>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</si>
  <si>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</si>
  <si>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</si>
  <si>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</si>
  <si>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</si>
  <si>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</si>
  <si>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</si>
  <si>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</si>
  <si>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</si>
  <si>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</si>
  <si>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</si>
  <si>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</si>
  <si>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</si>
  <si>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</si>
  <si>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</si>
  <si>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</si>
  <si>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</si>
  <si>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</si>
  <si>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</si>
  <si>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</si>
  <si>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</si>
  <si>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</si>
  <si>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</si>
  <si>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</si>
  <si>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</si>
  <si>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</si>
  <si>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</si>
  <si>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</si>
  <si>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</si>
  <si>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</si>
  <si>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</si>
  <si>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</si>
  <si>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</si>
  <si>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</si>
  <si>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</si>
  <si>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</si>
  <si>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</si>
  <si>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</si>
  <si>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</si>
  <si>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</si>
  <si>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</si>
  <si>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</si>
  <si>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</si>
  <si>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</si>
  <si>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</si>
  <si>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</si>
  <si>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</si>
  <si>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</si>
  <si>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</si>
  <si>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</si>
  <si>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</si>
  <si>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</si>
  <si>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</si>
  <si>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</si>
  <si>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</si>
  <si>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</si>
  <si>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</si>
  <si>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</si>
  <si>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</si>
  <si>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</si>
  <si>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</si>
  <si>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</si>
  <si>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</si>
  <si>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</si>
  <si>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</si>
  <si>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</si>
  <si>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</si>
  <si>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</si>
  <si>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</si>
  <si>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</si>
  <si>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</si>
  <si>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</si>
  <si>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</si>
  <si>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</si>
  <si>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</si>
  <si>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</si>
  <si>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</si>
  <si>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</si>
  <si>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</si>
  <si>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</si>
  <si>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</si>
  <si>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</si>
  <si>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</si>
  <si>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</si>
  <si>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</si>
  <si>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</si>
  <si>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</si>
  <si>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</si>
  <si>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</si>
  <si>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</si>
  <si>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</si>
  <si>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</si>
  <si>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</si>
  <si>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</si>
  <si>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</si>
  <si>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</si>
  <si>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</si>
  <si>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</si>
  <si>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</si>
  <si>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</si>
  <si>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</si>
  <si>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</si>
  <si>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</si>
  <si>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</si>
  <si>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</si>
  <si>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</si>
  <si>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</si>
  <si>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</si>
  <si>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</si>
  <si>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</si>
  <si>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</si>
  <si>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</si>
  <si>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</si>
  <si>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</si>
  <si>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</si>
  <si>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</si>
  <si>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</si>
  <si>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</si>
  <si>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</si>
  <si>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</si>
  <si>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</si>
  <si>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</si>
  <si>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</si>
  <si>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</si>
  <si>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</si>
  <si>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</si>
  <si>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</si>
  <si>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</si>
  <si>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</si>
  <si>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</si>
  <si>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</si>
  <si>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</si>
  <si>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</si>
  <si>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</si>
  <si>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</si>
  <si>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</si>
  <si>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</si>
  <si>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</si>
  <si>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</si>
  <si>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</si>
  <si>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</si>
  <si>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</si>
  <si>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</si>
  <si>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</si>
  <si>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</si>
  <si>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</si>
  <si>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</si>
  <si>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</si>
  <si>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</si>
  <si>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</si>
  <si>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</si>
  <si>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</si>
  <si>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</si>
  <si>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</si>
  <si>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</si>
  <si>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</si>
  <si>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</si>
  <si>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</si>
  <si>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</si>
  <si>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</si>
  <si>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</si>
  <si>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</si>
  <si>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</si>
  <si>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</si>
  <si>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</si>
  <si>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</si>
  <si>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</si>
  <si>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</si>
  <si>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</si>
  <si>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</si>
  <si>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</si>
  <si>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</si>
  <si>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</si>
  <si>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</si>
  <si>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</si>
  <si>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</si>
  <si>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</si>
  <si>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</si>
  <si>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</si>
  <si>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</si>
  <si>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</si>
  <si>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</si>
  <si>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</si>
  <si>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</si>
  <si>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</si>
  <si>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</si>
  <si>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</si>
  <si>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</si>
  <si>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</si>
  <si>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</si>
  <si>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</si>
  <si>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</si>
  <si>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</si>
  <si>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</si>
  <si>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</si>
  <si>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</si>
  <si>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</si>
  <si>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</si>
  <si>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</si>
  <si>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</si>
  <si>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</si>
  <si>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</si>
  <si>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</si>
  <si>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</si>
  <si>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</si>
  <si>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</si>
  <si>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</si>
  <si>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</si>
  <si>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</si>
  <si>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</si>
  <si>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</si>
  <si>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</si>
  <si>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</si>
  <si>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</si>
  <si>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</si>
  <si>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</si>
  <si>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</si>
  <si>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</si>
  <si>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</si>
  <si>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</si>
  <si>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</si>
  <si>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</si>
  <si>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</si>
  <si>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</si>
  <si>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</si>
  <si>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</si>
  <si>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</si>
  <si>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</si>
  <si>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</si>
  <si>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</si>
  <si>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</si>
  <si>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</si>
  <si>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</si>
  <si>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</si>
  <si>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</si>
  <si>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</si>
  <si>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</si>
  <si>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</si>
  <si>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</si>
  <si>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</si>
  <si>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</si>
  <si>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</si>
  <si>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</si>
  <si>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</si>
  <si>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</si>
  <si>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</si>
  <si>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</si>
  <si>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</si>
  <si>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</si>
  <si>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</si>
  <si>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</si>
  <si>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</si>
  <si>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</si>
  <si>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</si>
  <si>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</si>
  <si>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</si>
  <si>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</si>
  <si>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</si>
  <si>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</si>
  <si>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</si>
  <si>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</si>
  <si>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</si>
  <si>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</si>
  <si>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</si>
  <si>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</si>
  <si>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</si>
  <si>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</si>
  <si>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</si>
  <si>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</si>
  <si>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</si>
  <si>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</si>
  <si>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</si>
  <si>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</si>
  <si>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</si>
  <si>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</si>
  <si>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</si>
  <si>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</si>
  <si>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</si>
  <si>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</si>
  <si>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</si>
  <si>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</si>
  <si>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</si>
  <si>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</si>
  <si>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</si>
  <si>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</si>
  <si>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</si>
  <si>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</si>
  <si>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</si>
  <si>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</si>
  <si>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</si>
  <si>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</si>
  <si>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</si>
  <si>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</si>
  <si>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</si>
  <si>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</si>
  <si>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</si>
  <si>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</si>
  <si>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</si>
  <si>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</si>
  <si>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</si>
  <si>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</si>
  <si>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</si>
  <si>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</si>
  <si>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</si>
  <si>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</si>
  <si>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</si>
  <si>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</si>
  <si>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</si>
  <si>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</si>
  <si>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</si>
  <si>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</si>
  <si>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</si>
  <si>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</si>
  <si>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</si>
  <si>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</si>
  <si>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</si>
  <si>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</si>
  <si>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</si>
  <si>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</si>
  <si>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</si>
  <si>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</si>
  <si>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</si>
  <si>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</si>
  <si>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</si>
  <si>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</si>
  <si>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</si>
  <si>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</si>
  <si>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</si>
  <si>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</si>
  <si>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</si>
  <si>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</si>
  <si>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</si>
  <si>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</si>
  <si>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</si>
  <si>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</si>
  <si>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</si>
  <si>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</si>
  <si>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</si>
  <si>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</si>
  <si>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</si>
  <si>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</si>
  <si>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</si>
  <si>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</si>
  <si>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</si>
  <si>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</si>
  <si>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</si>
  <si>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</si>
  <si>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</si>
  <si>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</si>
  <si>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</si>
  <si>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</si>
  <si>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</si>
  <si>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</si>
  <si>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</si>
  <si>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</si>
  <si>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</si>
  <si>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</si>
  <si>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</si>
  <si>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</si>
  <si>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</si>
  <si>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</si>
  <si>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</si>
  <si>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</si>
  <si>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</si>
  <si>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</si>
  <si>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</si>
  <si>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</si>
  <si>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</si>
  <si>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</si>
  <si>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</si>
  <si>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</si>
  <si>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</si>
  <si>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</si>
  <si>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</si>
  <si>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</si>
  <si>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</si>
  <si>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</si>
  <si>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</si>
  <si>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</si>
  <si>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</si>
  <si>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</si>
  <si>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</si>
  <si>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</si>
  <si>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</si>
  <si>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</si>
  <si>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</si>
  <si>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</si>
  <si>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</si>
  <si>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</si>
  <si>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</si>
  <si>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</si>
  <si>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</si>
  <si>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</si>
  <si>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</si>
  <si>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</si>
  <si>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</si>
  <si>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</si>
  <si>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</si>
  <si>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</si>
  <si>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</si>
  <si>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</si>
  <si>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</si>
  <si>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</si>
  <si>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</si>
  <si>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</si>
  <si>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</si>
  <si>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</si>
  <si>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</si>
  <si>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</si>
  <si>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</si>
  <si>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</si>
  <si>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</si>
  <si>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</si>
  <si>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</si>
  <si>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</si>
  <si>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</si>
  <si>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</si>
  <si>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</si>
  <si>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</si>
  <si>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</si>
  <si>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</si>
  <si>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</si>
  <si>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</si>
  <si>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</si>
  <si>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</si>
  <si>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</si>
  <si>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</si>
  <si>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</si>
  <si>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</si>
  <si>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</si>
  <si>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</si>
  <si>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</si>
  <si>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</si>
  <si>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</si>
  <si>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</si>
  <si>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</si>
  <si>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</si>
  <si>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</si>
  <si>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</si>
  <si>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</si>
  <si>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</si>
  <si>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</si>
  <si>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</si>
  <si>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</si>
  <si>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</si>
  <si>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</si>
  <si>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</si>
  <si>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</si>
  <si>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</si>
  <si>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</si>
  <si>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</si>
  <si>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</si>
  <si>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</si>
  <si>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</si>
  <si>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</si>
  <si>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</si>
  <si>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</si>
  <si>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</si>
  <si>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</si>
  <si>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</si>
  <si>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</si>
  <si>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</si>
  <si>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</si>
  <si>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</si>
  <si>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</si>
  <si>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</si>
  <si>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</si>
  <si>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</si>
  <si>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</si>
  <si>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</si>
  <si>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</si>
  <si>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</si>
  <si>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</si>
  <si>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</si>
  <si>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</si>
  <si>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</si>
  <si>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</si>
  <si>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</si>
  <si>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</si>
  <si>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</si>
  <si>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</si>
  <si>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</si>
  <si>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</si>
  <si>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</si>
  <si>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</si>
  <si>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</si>
  <si>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</si>
  <si>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</si>
  <si>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</si>
  <si>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</si>
  <si>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</si>
  <si>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</si>
  <si>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</si>
  <si>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</si>
  <si>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</si>
  <si>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</si>
  <si>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</si>
  <si>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</si>
  <si>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</si>
  <si>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</si>
  <si>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</si>
  <si>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</si>
  <si>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</si>
  <si>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</si>
  <si>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</si>
  <si>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</si>
  <si>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</si>
  <si>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</si>
  <si>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</si>
  <si>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</si>
  <si>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</si>
  <si>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</si>
  <si>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</si>
  <si>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</si>
  <si>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</si>
  <si>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</si>
  <si>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</si>
  <si>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</si>
  <si>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</si>
  <si>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</si>
  <si>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</si>
  <si>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</si>
  <si>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</si>
  <si>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</si>
  <si>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</si>
  <si>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</si>
  <si>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</si>
  <si>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</si>
  <si>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</si>
  <si>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</si>
  <si>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</si>
  <si>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</si>
  <si>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</si>
  <si>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</si>
  <si>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</si>
  <si>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</si>
  <si>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</si>
  <si>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</si>
  <si>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</si>
  <si>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</si>
  <si>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</si>
  <si>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</si>
  <si>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</si>
  <si>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</si>
  <si>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</si>
  <si>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</si>
  <si>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</si>
  <si>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</si>
  <si>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</si>
  <si>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</si>
  <si>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</si>
  <si>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</si>
  <si>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</si>
  <si>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</si>
  <si>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</si>
  <si>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</si>
  <si>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</si>
  <si>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</si>
  <si>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</si>
  <si>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</si>
  <si>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</si>
  <si>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</si>
  <si>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</si>
  <si>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</si>
  <si>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</si>
  <si>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</si>
  <si>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</si>
  <si>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</si>
  <si>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</si>
  <si>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</si>
  <si>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</si>
  <si>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</si>
  <si>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</si>
  <si>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</si>
  <si>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</si>
  <si>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</si>
  <si>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</si>
  <si>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</si>
  <si>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</si>
  <si>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</si>
  <si>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</si>
  <si>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</si>
  <si>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</si>
  <si>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</si>
  <si>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</si>
  <si>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</si>
  <si>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</si>
  <si>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</si>
  <si>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</si>
  <si>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</si>
  <si>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</si>
  <si>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</si>
  <si>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</si>
  <si>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</si>
  <si>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</si>
  <si>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</si>
  <si>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</si>
  <si>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</si>
  <si>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</si>
  <si>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</si>
  <si>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</si>
  <si>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</si>
  <si>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</si>
  <si>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</si>
  <si>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</si>
  <si>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</si>
  <si>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</si>
  <si>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</si>
  <si>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</si>
  <si>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</si>
  <si>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</si>
  <si>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</si>
  <si>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</si>
  <si>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</si>
  <si>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</si>
  <si>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</si>
  <si>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</si>
  <si>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</si>
  <si>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</si>
  <si>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</si>
  <si>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</si>
  <si>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</si>
  <si>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</si>
  <si>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</si>
  <si>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</si>
  <si>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</si>
  <si>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</si>
  <si>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</si>
  <si>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</si>
  <si>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</si>
  <si>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</si>
  <si>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</si>
  <si>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</si>
  <si>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</si>
  <si>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</si>
  <si>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</si>
  <si>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</si>
  <si>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</si>
  <si>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</si>
  <si>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</si>
  <si>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</si>
  <si>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</si>
  <si>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</si>
  <si>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</si>
  <si>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</si>
  <si>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</si>
  <si>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</si>
  <si>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</si>
  <si>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</si>
  <si>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</si>
  <si>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</si>
  <si>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</si>
  <si>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</si>
  <si>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</si>
  <si>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</si>
  <si>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</si>
  <si>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</si>
  <si>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</si>
  <si>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</si>
  <si>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</si>
  <si>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</si>
  <si>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</si>
  <si>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</si>
  <si>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</si>
  <si>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</si>
  <si>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</si>
  <si>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</si>
  <si>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</si>
  <si>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</si>
  <si>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</si>
  <si>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</si>
  <si>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</si>
  <si>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</si>
  <si>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</si>
  <si>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</si>
  <si>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</si>
  <si>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</si>
  <si>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</si>
  <si>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</si>
  <si>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</si>
  <si>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</si>
  <si>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</si>
  <si>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</si>
  <si>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</si>
  <si>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</si>
  <si>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</si>
  <si>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</si>
  <si>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</si>
  <si>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</si>
  <si>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</si>
  <si>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</si>
  <si>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</si>
  <si>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</si>
  <si>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</si>
  <si>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</si>
  <si>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</si>
  <si>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</si>
  <si>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</si>
  <si>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</si>
  <si>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</si>
  <si>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</si>
  <si>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</si>
  <si>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</si>
  <si>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</si>
  <si>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</si>
  <si>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</si>
  <si>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</si>
  <si>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</si>
  <si>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</si>
  <si>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</si>
  <si>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</si>
  <si>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</si>
  <si>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</si>
  <si>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</si>
  <si>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</si>
  <si>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</si>
  <si>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</si>
  <si>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</si>
  <si>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</si>
  <si>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</si>
  <si>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</si>
  <si>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</si>
  <si>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</si>
  <si>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</si>
  <si>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</si>
  <si>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</si>
  <si>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</si>
  <si>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</si>
  <si>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</si>
  <si>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</si>
  <si>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</si>
  <si>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</si>
  <si>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</si>
  <si>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</si>
  <si>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</si>
  <si>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</si>
  <si>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</si>
  <si>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</si>
  <si>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</si>
  <si>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</si>
  <si>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</si>
  <si>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</si>
  <si>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</si>
  <si>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</si>
  <si>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</si>
  <si>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</si>
  <si>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</si>
  <si>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</si>
  <si>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</si>
  <si>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</si>
  <si>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</si>
  <si>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</si>
  <si>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</si>
  <si>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</si>
  <si>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</si>
  <si>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</si>
  <si>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</si>
  <si>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</si>
  <si>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</si>
  <si>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</si>
  <si>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</si>
  <si>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</si>
  <si>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</si>
  <si>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</si>
  <si>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</si>
  <si>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</si>
  <si>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</si>
  <si>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</si>
  <si>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</si>
  <si>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</si>
  <si>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</si>
  <si>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</si>
  <si>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</si>
  <si>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</si>
  <si>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</si>
  <si>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</si>
  <si>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</si>
  <si>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</si>
  <si>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</si>
  <si>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</si>
  <si>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</si>
  <si>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</si>
  <si>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</si>
  <si>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</si>
  <si>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</si>
  <si>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</si>
  <si>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</si>
  <si>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</si>
  <si>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</si>
  <si>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</si>
  <si>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</si>
  <si>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</si>
  <si>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</si>
  <si>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</si>
  <si>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</si>
  <si>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</si>
  <si>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</si>
  <si>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</si>
  <si>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</si>
  <si>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</si>
  <si>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</si>
  <si>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</si>
  <si>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</si>
  <si>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</si>
  <si>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</si>
  <si>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</si>
  <si>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</si>
  <si>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</si>
  <si>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</si>
  <si>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</si>
  <si>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</si>
  <si>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</si>
  <si>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</si>
  <si>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</si>
  <si>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</si>
  <si>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</si>
  <si>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</si>
  <si>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</si>
  <si>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</si>
  <si>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</si>
  <si>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</si>
  <si>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</si>
  <si>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</si>
  <si>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</si>
  <si>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</si>
  <si>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</si>
  <si>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</si>
  <si>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</si>
  <si>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</si>
  <si>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</si>
  <si>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</si>
  <si>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</si>
  <si>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</si>
  <si>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</si>
  <si>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</si>
  <si>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</si>
  <si>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</si>
  <si>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</si>
  <si>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</si>
  <si>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</si>
  <si>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</si>
  <si>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</si>
  <si>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</si>
  <si>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</si>
  <si>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</si>
  <si>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</si>
  <si>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</si>
  <si>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</si>
  <si>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</si>
  <si>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</si>
  <si>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</si>
  <si>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</si>
  <si>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</si>
  <si>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</si>
  <si>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</si>
  <si>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</si>
  <si>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</si>
  <si>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</si>
  <si>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</si>
  <si>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</si>
  <si>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</si>
  <si>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</si>
  <si>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</si>
  <si>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</si>
  <si>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</si>
  <si>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</si>
  <si>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</si>
  <si>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</si>
  <si>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</si>
  <si>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</si>
  <si>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</si>
  <si>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</si>
  <si>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</si>
  <si>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</si>
  <si>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</si>
  <si>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</si>
  <si>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</si>
  <si>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</si>
  <si>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</si>
  <si>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</si>
  <si>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</si>
  <si>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</si>
  <si>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</si>
  <si>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</si>
  <si>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</si>
  <si>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</si>
  <si>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</si>
  <si>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</si>
  <si>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</si>
  <si>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</si>
  <si>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</si>
  <si>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</si>
  <si>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</si>
  <si>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</si>
  <si>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</si>
  <si>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</si>
  <si>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</si>
  <si>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</si>
  <si>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</si>
  <si>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</si>
  <si>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</si>
  <si>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</si>
  <si>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</si>
  <si>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</si>
  <si>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</si>
  <si>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</si>
  <si>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</si>
  <si>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</si>
  <si>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</si>
  <si>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</si>
  <si>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</si>
  <si>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</si>
  <si>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</si>
  <si>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</si>
  <si>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</si>
  <si>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</si>
  <si>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</si>
  <si>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</si>
  <si>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</si>
  <si>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</si>
  <si>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</si>
  <si>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</si>
  <si>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</si>
  <si>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</si>
  <si>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</si>
  <si>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</si>
  <si>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</si>
  <si>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</si>
  <si>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</si>
  <si>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</si>
  <si>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</si>
  <si>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</si>
  <si>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</si>
  <si>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</si>
  <si>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</si>
  <si>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</si>
  <si>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</si>
  <si>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</si>
  <si>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</si>
  <si>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</si>
  <si>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</si>
  <si>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</si>
  <si>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</si>
  <si>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</si>
  <si>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</si>
  <si>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</si>
  <si>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</si>
  <si>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</si>
  <si>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</si>
  <si>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</si>
  <si>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</si>
  <si>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</si>
  <si>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</si>
  <si>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</si>
  <si>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</si>
  <si>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</si>
  <si>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</si>
  <si>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</si>
  <si>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</si>
  <si>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</si>
  <si>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</si>
  <si>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</si>
  <si>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</si>
  <si>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</si>
  <si>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</si>
  <si>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</si>
  <si>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</si>
  <si>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</si>
  <si>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</si>
  <si>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</si>
  <si>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</si>
  <si>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</si>
  <si>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</si>
  <si>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</si>
  <si>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</si>
  <si>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</si>
  <si>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</si>
  <si>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</si>
  <si>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</si>
  <si>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</si>
  <si>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</si>
  <si>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</si>
  <si>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</si>
  <si>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</si>
  <si>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</si>
  <si>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</si>
  <si>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</si>
  <si>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</si>
  <si>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</si>
  <si>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</si>
  <si>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</si>
  <si>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</si>
  <si>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</si>
  <si>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</si>
  <si>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</si>
  <si>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</si>
  <si>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</si>
  <si>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</si>
  <si>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</si>
  <si>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</si>
  <si>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</si>
  <si>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</si>
  <si>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</si>
  <si>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</si>
  <si>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</si>
  <si>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</si>
  <si>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</si>
  <si>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</si>
  <si>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</si>
  <si>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</si>
  <si>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</si>
  <si>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</si>
  <si>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</si>
  <si>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</si>
  <si>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</si>
  <si>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</si>
  <si>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</si>
  <si>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</si>
  <si>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</si>
  <si>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</si>
  <si>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</si>
  <si>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</si>
  <si>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</si>
  <si>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</si>
  <si>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</si>
  <si>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</si>
  <si>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</si>
  <si>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</si>
  <si>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</si>
  <si>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</si>
  <si>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</si>
  <si>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</si>
  <si>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</si>
  <si>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</si>
  <si>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</si>
  <si>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</si>
  <si>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</si>
  <si>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</si>
  <si>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</si>
  <si>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</si>
  <si>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</si>
  <si>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</si>
  <si>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</si>
  <si>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</si>
  <si>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</si>
  <si>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</si>
  <si>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</si>
  <si>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</si>
  <si>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</si>
  <si>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</si>
  <si>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</si>
  <si>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</si>
  <si>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</si>
  <si>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</si>
  <si>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</si>
  <si>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</si>
  <si>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</si>
  <si>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</si>
  <si>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</si>
  <si>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</si>
  <si>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</si>
  <si>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</si>
  <si>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</si>
  <si>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</si>
  <si>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</si>
  <si>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</si>
  <si>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</si>
  <si>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</si>
  <si>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</si>
  <si>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</si>
  <si>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</si>
  <si>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</si>
  <si>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</si>
  <si>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</si>
  <si>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</si>
  <si>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</si>
  <si>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</si>
  <si>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</si>
  <si>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</si>
  <si>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</si>
  <si>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</si>
  <si>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</si>
  <si>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</si>
  <si>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</si>
  <si>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</si>
  <si>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</si>
  <si>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</si>
  <si>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</si>
  <si>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</si>
  <si>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</si>
  <si>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</si>
  <si>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</si>
  <si>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</si>
  <si>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</si>
  <si>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</si>
  <si>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</si>
  <si>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</si>
  <si>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</si>
  <si>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</si>
  <si>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</si>
  <si>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</si>
  <si>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</si>
  <si>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</si>
  <si>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</si>
  <si>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</si>
  <si>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</si>
  <si>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</si>
  <si>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</si>
  <si>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</si>
  <si>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</si>
  <si>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</si>
  <si>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</si>
  <si>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</si>
  <si>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</si>
  <si>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</si>
  <si>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</si>
  <si>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</si>
  <si>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</si>
  <si>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</si>
  <si>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</si>
  <si>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</si>
  <si>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</si>
  <si>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</si>
  <si>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</si>
  <si>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</si>
  <si>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</si>
  <si>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</si>
  <si>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</si>
  <si>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</si>
  <si>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</si>
  <si>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</si>
  <si>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</si>
  <si>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</si>
  <si>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</si>
  <si>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</si>
  <si>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</si>
  <si>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</si>
  <si>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</si>
  <si>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</si>
  <si>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</si>
  <si>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</si>
  <si>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</si>
  <si>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</si>
  <si>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</si>
  <si>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</si>
  <si>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</si>
  <si>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</si>
  <si>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</si>
  <si>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</si>
  <si>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</si>
  <si>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</si>
  <si>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</si>
  <si>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</si>
  <si>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</si>
  <si>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</si>
  <si>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</si>
  <si>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</si>
  <si>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</si>
  <si>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</si>
  <si>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</si>
  <si>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</si>
  <si>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</si>
  <si>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</si>
  <si>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</si>
  <si>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</si>
  <si>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</si>
  <si>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</si>
  <si>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</si>
  <si>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</si>
  <si>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</si>
  <si>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</si>
  <si>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</si>
  <si>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</si>
  <si>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</si>
  <si>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</si>
  <si>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</si>
  <si>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</si>
  <si>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</si>
  <si>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</si>
  <si>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</si>
  <si>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</si>
  <si>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</si>
  <si>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</si>
  <si>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</si>
  <si>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</si>
  <si>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</si>
  <si>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</si>
  <si>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</si>
  <si>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</si>
  <si>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</si>
  <si>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</si>
  <si>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</si>
  <si>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</si>
  <si>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</si>
  <si>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</si>
  <si>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</si>
  <si>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</si>
  <si>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</si>
  <si>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</si>
  <si>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</si>
  <si>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</si>
  <si>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</si>
  <si>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</si>
  <si>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</si>
  <si>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</si>
  <si>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</si>
  <si>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</si>
  <si>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</si>
  <si>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</si>
  <si>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</si>
  <si>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</si>
  <si>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</si>
  <si>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</si>
  <si>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</si>
  <si>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</si>
  <si>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</si>
  <si>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</si>
  <si>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</si>
  <si>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</si>
  <si>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</si>
  <si>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</si>
  <si>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</si>
  <si>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</si>
  <si>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</si>
  <si>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</si>
  <si>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</si>
  <si>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</si>
  <si>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</si>
  <si>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</si>
  <si>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</si>
  <si>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</si>
  <si>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</si>
  <si>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</si>
  <si>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</si>
  <si>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</si>
  <si>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</si>
  <si>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</si>
  <si>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</si>
  <si>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</si>
  <si>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</si>
  <si>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</si>
  <si>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</si>
  <si>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</si>
  <si>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</si>
  <si>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</si>
  <si>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</si>
  <si>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</si>
  <si>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</si>
  <si>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</si>
  <si>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</si>
  <si>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</si>
  <si>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</si>
  <si>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</si>
  <si>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</si>
  <si>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</si>
  <si>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</si>
  <si>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</si>
  <si>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</si>
  <si>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</si>
  <si>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</si>
  <si>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</si>
  <si>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</si>
  <si>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</si>
  <si>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</si>
  <si>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</si>
  <si>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</si>
  <si>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</si>
  <si>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</si>
  <si>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</si>
  <si>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</si>
  <si>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</si>
  <si>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</si>
  <si>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</si>
  <si>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</si>
  <si>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</si>
  <si>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</si>
  <si>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</si>
  <si>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</si>
  <si>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</si>
  <si>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</si>
  <si>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</si>
  <si>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</si>
  <si>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</si>
  <si>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</si>
  <si>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</si>
  <si>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</si>
  <si>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</si>
  <si>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</si>
  <si>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</si>
  <si>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</si>
  <si>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</si>
  <si>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</si>
  <si>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</si>
  <si>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</si>
  <si>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</si>
  <si>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</si>
  <si>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</si>
  <si>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</si>
  <si>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</si>
  <si>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</si>
  <si>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</si>
  <si>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</si>
  <si>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</si>
  <si>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</si>
  <si>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</si>
  <si>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</si>
  <si>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</si>
  <si>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</si>
  <si>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</si>
  <si>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</si>
  <si>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</si>
  <si>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</si>
  <si>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</si>
  <si>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</si>
  <si>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</si>
  <si>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</si>
  <si>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</si>
  <si>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</si>
  <si>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</si>
  <si>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</si>
  <si>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</si>
  <si>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</si>
  <si>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</si>
  <si>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</si>
  <si>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</si>
  <si>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</si>
  <si>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</si>
  <si>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</si>
  <si>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</si>
  <si>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</si>
  <si>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</si>
  <si>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</si>
  <si>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</si>
  <si>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</si>
  <si>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</si>
  <si>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</si>
  <si>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</si>
  <si>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</si>
  <si>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</si>
  <si>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</si>
  <si>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</si>
  <si>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</si>
  <si>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</si>
  <si>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</si>
  <si>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</si>
  <si>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</si>
  <si>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</si>
  <si>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</si>
  <si>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</si>
  <si>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</si>
  <si>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</si>
  <si>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</si>
  <si>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</si>
  <si>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</si>
  <si>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</si>
  <si>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</si>
  <si>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</si>
  <si>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</si>
  <si>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</si>
  <si>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</si>
  <si>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</si>
  <si>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</si>
  <si>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</si>
  <si>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</si>
  <si>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</si>
  <si>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</si>
  <si>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</si>
  <si>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</si>
  <si>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</si>
  <si>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</si>
  <si>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</si>
  <si>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</si>
  <si>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</si>
  <si>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</si>
  <si>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</si>
  <si>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</si>
  <si>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</si>
  <si>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</si>
  <si>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</si>
  <si>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</si>
  <si>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</si>
  <si>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</si>
  <si>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</si>
  <si>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</si>
  <si>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</si>
  <si>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</si>
  <si>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</si>
  <si>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</si>
  <si>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</si>
  <si>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</si>
  <si>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</si>
  <si>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</si>
  <si>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</si>
  <si>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</si>
  <si>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</si>
  <si>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</si>
  <si>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</si>
  <si>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</si>
  <si>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</si>
  <si>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</si>
  <si>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</si>
  <si>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</si>
  <si>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</si>
  <si>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</si>
  <si>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</si>
  <si>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</si>
  <si>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</si>
  <si>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</si>
  <si>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</si>
  <si>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</si>
  <si>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</si>
  <si>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</si>
  <si>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</si>
  <si>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</si>
  <si>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</si>
  <si>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</si>
  <si>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</si>
  <si>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</si>
  <si>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</si>
  <si>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</si>
  <si>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</si>
  <si>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</si>
  <si>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</si>
  <si>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</si>
  <si>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</si>
  <si>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</si>
  <si>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</si>
  <si>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</si>
  <si>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</si>
  <si>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</si>
  <si>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</si>
  <si>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</si>
  <si>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</si>
  <si>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</si>
  <si>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</si>
  <si>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</si>
  <si>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</si>
  <si>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</si>
  <si>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</si>
  <si>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</si>
  <si>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</si>
  <si>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</si>
  <si>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</si>
  <si>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</si>
  <si>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</si>
  <si>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</si>
  <si>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</si>
  <si>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</si>
  <si>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</si>
  <si>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</si>
  <si>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</si>
  <si>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</si>
  <si>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</si>
  <si>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</si>
  <si>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</si>
  <si>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</si>
  <si>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</si>
  <si>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</si>
  <si>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</si>
  <si>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</si>
  <si>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</si>
  <si>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</si>
  <si>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</si>
  <si>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</si>
  <si>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</si>
  <si>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</si>
  <si>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</si>
  <si>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</si>
  <si>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</si>
  <si>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</si>
  <si>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</si>
  <si>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</si>
  <si>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</si>
  <si>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</si>
  <si>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</si>
  <si>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</si>
  <si>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</si>
  <si>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</si>
  <si>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</si>
  <si>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</si>
  <si>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</si>
  <si>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</si>
  <si>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</si>
  <si>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</si>
  <si>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</si>
  <si>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</si>
  <si>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</si>
  <si>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</si>
  <si>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</si>
  <si>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</si>
  <si>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</si>
  <si>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</si>
  <si>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</si>
  <si>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</si>
  <si>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</si>
  <si>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</si>
  <si>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</si>
  <si>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</si>
  <si>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</si>
  <si>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</si>
  <si>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</si>
  <si>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</si>
  <si>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</si>
  <si>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</si>
  <si>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</si>
  <si>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</si>
  <si>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</si>
  <si>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</si>
  <si>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</si>
  <si>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</si>
  <si>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</si>
  <si>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</si>
  <si>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</si>
  <si>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</si>
  <si>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</si>
  <si>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</si>
  <si>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</si>
  <si>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</si>
  <si>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</si>
  <si>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</si>
  <si>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</si>
  <si>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</si>
  <si>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</si>
  <si>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</si>
  <si>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</si>
  <si>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</si>
  <si>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</si>
  <si>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</si>
  <si>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</si>
  <si>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</si>
  <si>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</si>
  <si>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</si>
  <si>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</si>
  <si>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</si>
  <si>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</si>
  <si>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</si>
  <si>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</si>
  <si>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</si>
  <si>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</si>
  <si>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</si>
  <si>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</si>
  <si>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</si>
  <si>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</si>
  <si>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</si>
  <si>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</si>
  <si>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</si>
  <si>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</si>
  <si>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</si>
  <si>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</si>
  <si>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</si>
  <si>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</si>
  <si>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</si>
  <si>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</si>
  <si>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</si>
  <si>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</si>
  <si>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</si>
  <si>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</si>
  <si>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</si>
  <si>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</si>
  <si>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</si>
  <si>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</si>
  <si>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</si>
  <si>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</si>
  <si>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</si>
  <si>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</si>
  <si>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</si>
  <si>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</si>
  <si>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</si>
  <si>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</si>
  <si>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</si>
  <si>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</si>
  <si>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</si>
  <si>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</si>
  <si>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</si>
  <si>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</si>
  <si>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</si>
  <si>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</si>
  <si>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</si>
  <si>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</si>
  <si>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</si>
  <si>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</si>
  <si>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</si>
  <si>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</si>
  <si>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</si>
  <si>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</si>
  <si>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</si>
  <si>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</si>
  <si>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</si>
  <si>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</si>
  <si>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</si>
  <si>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</si>
  <si>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</si>
  <si>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</si>
  <si>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</si>
  <si>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</si>
  <si>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</si>
  <si>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</si>
  <si>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</si>
  <si>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</si>
  <si>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</si>
  <si>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</si>
  <si>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</si>
  <si>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</si>
  <si>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</si>
  <si>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</si>
  <si>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</si>
  <si>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</si>
  <si>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</si>
  <si>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</si>
  <si>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</si>
  <si>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</si>
  <si>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</si>
  <si>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</si>
  <si>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</si>
  <si>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</si>
  <si>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</si>
  <si>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</si>
  <si>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</si>
  <si>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</si>
  <si>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</si>
  <si>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</si>
  <si>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</si>
  <si>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</si>
  <si>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</si>
  <si>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</si>
  <si>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</si>
  <si>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</si>
  <si>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</si>
  <si>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</si>
  <si>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</si>
  <si>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</si>
  <si>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</si>
  <si>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</si>
  <si>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</si>
  <si>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</si>
  <si>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</si>
  <si>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</si>
  <si>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</si>
  <si>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</si>
  <si>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</si>
  <si>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</si>
  <si>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</si>
  <si>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</si>
  <si>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</si>
  <si>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</si>
  <si>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</si>
  <si>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</si>
  <si>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</si>
  <si>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</si>
  <si>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</si>
  <si>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</si>
  <si>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</si>
  <si>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</si>
  <si>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</si>
  <si>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</si>
  <si>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</si>
  <si>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</si>
  <si>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</si>
  <si>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</si>
  <si>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</si>
  <si>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</si>
  <si>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</si>
  <si>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</si>
  <si>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</si>
  <si>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</si>
  <si>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</si>
  <si>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</si>
  <si>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</si>
  <si>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</si>
  <si>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</si>
  <si>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</si>
  <si>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</si>
  <si>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</si>
  <si>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</si>
  <si>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</si>
  <si>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</si>
  <si>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</si>
  <si>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</si>
  <si>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</si>
  <si>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</si>
  <si>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</si>
  <si>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</si>
  <si>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</si>
  <si>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</si>
  <si>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</si>
  <si>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</si>
  <si>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</si>
  <si>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</si>
  <si>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</si>
  <si>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</si>
  <si>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</si>
  <si>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</si>
  <si>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</si>
  <si>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</si>
  <si>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</si>
  <si>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</si>
  <si>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</si>
  <si>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</si>
  <si>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</si>
  <si>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</si>
  <si>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</si>
  <si>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</si>
  <si>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</si>
  <si>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</si>
  <si>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</si>
  <si>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</si>
  <si>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</si>
  <si>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</si>
  <si>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</si>
  <si>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</si>
  <si>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</si>
  <si>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</si>
  <si>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</si>
  <si>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</si>
  <si>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</si>
  <si>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</si>
  <si>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</si>
  <si>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</si>
  <si>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</si>
  <si>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</si>
  <si>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</si>
  <si>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</si>
  <si>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</si>
  <si>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</si>
  <si>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</si>
  <si>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</si>
  <si>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</si>
  <si>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</si>
  <si>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</si>
  <si>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</si>
  <si>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</si>
  <si>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</si>
  <si>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</si>
  <si>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</si>
  <si>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</si>
  <si>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</si>
  <si>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</si>
  <si>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</si>
  <si>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</si>
  <si>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</si>
  <si>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</si>
  <si>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</si>
  <si>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</si>
  <si>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</si>
  <si>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</si>
  <si>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</si>
  <si>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</si>
  <si>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</si>
  <si>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</si>
  <si>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</si>
  <si>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</si>
  <si>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</si>
  <si>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</si>
  <si>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</si>
  <si>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</si>
  <si>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</si>
  <si>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</si>
  <si>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</si>
  <si>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</si>
  <si>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</si>
  <si>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</si>
  <si>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</si>
  <si>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</si>
  <si>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</si>
  <si>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</si>
  <si>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</si>
  <si>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</si>
  <si>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</si>
  <si>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</si>
  <si>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</si>
  <si>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</si>
  <si>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</si>
  <si>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</si>
  <si>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</si>
  <si>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</si>
  <si>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</si>
  <si>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</si>
  <si>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</si>
  <si>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</si>
  <si>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</si>
  <si>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</si>
  <si>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</si>
  <si>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</si>
  <si>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</si>
  <si>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</si>
  <si>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</si>
  <si>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</si>
  <si>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</si>
  <si>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</si>
  <si>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</si>
  <si>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</si>
  <si>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</si>
  <si>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</si>
  <si>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</si>
  <si>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</si>
  <si>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</si>
  <si>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</si>
  <si>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</si>
  <si>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</si>
  <si>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</si>
  <si>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</si>
  <si>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</si>
  <si>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</si>
  <si>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</si>
  <si>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</si>
  <si>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</si>
  <si>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</si>
  <si>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</si>
  <si>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</si>
  <si>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</si>
  <si>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</si>
  <si>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</si>
  <si>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</si>
  <si>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</si>
  <si>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</si>
  <si>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</si>
  <si>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</si>
  <si>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</si>
  <si>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</si>
  <si>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</si>
  <si>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</si>
  <si>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</si>
  <si>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</si>
  <si>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</si>
  <si>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</si>
  <si>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</si>
  <si>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</si>
  <si>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</si>
  <si>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</si>
  <si>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</si>
  <si>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</si>
  <si>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</si>
  <si>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</si>
  <si>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</si>
  <si>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</si>
  <si>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</si>
  <si>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</si>
  <si>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</si>
  <si>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</si>
  <si>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</si>
  <si>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</si>
  <si>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</si>
  <si>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</si>
  <si>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</si>
  <si>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</si>
  <si>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</si>
  <si>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</si>
  <si>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</si>
  <si>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</si>
  <si>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</si>
  <si>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</si>
  <si>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</si>
  <si>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</si>
  <si>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</si>
  <si>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</si>
  <si>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</si>
  <si>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</si>
  <si>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</si>
  <si>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</si>
  <si>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</si>
  <si>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</si>
  <si>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</si>
  <si>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</si>
  <si>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</si>
  <si>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</si>
  <si>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</si>
  <si>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</si>
  <si>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</si>
  <si>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</si>
  <si>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</si>
  <si>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</si>
  <si>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</si>
  <si>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</si>
  <si>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</si>
  <si>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</si>
  <si>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</si>
  <si>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</si>
  <si>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</si>
  <si>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</si>
  <si>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</si>
  <si>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</si>
  <si>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</si>
  <si>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</si>
  <si>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</si>
  <si>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</si>
  <si>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</si>
  <si>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</si>
  <si>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</si>
  <si>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</si>
  <si>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</si>
  <si>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</si>
  <si>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</si>
  <si>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</si>
  <si>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</si>
  <si>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</si>
  <si>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</si>
  <si>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</si>
  <si>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</si>
  <si>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</si>
  <si>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</si>
  <si>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</si>
  <si>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</si>
  <si>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</si>
  <si>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</si>
  <si>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</si>
  <si>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</si>
  <si>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</si>
  <si>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</si>
  <si>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</si>
  <si>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</si>
  <si>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</si>
  <si>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</si>
  <si>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</si>
  <si>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</si>
  <si>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</si>
  <si>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</si>
  <si>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</si>
  <si>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</si>
  <si>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</si>
  <si>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</si>
  <si>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</si>
  <si>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</si>
  <si>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</si>
  <si>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</si>
  <si>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</si>
  <si>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</si>
  <si>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</si>
  <si>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</si>
  <si>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</si>
  <si>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</si>
  <si>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</si>
  <si>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</si>
  <si>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</si>
  <si>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</si>
  <si>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</si>
  <si>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</si>
  <si>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</si>
  <si>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</si>
  <si>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</si>
  <si>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</si>
  <si>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</si>
  <si>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</si>
  <si>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</si>
  <si>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</si>
  <si>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</si>
  <si>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</si>
  <si>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</si>
  <si>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</si>
  <si>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</si>
  <si>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</si>
  <si>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</si>
  <si>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</si>
  <si>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</si>
  <si>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</si>
  <si>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</si>
  <si>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</si>
  <si>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</si>
  <si>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</si>
  <si>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</si>
  <si>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</si>
  <si>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</si>
  <si>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</si>
  <si>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</si>
  <si>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</si>
  <si>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</si>
  <si>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</si>
  <si>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</si>
  <si>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</si>
  <si>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</si>
  <si>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</si>
  <si>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</si>
  <si>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</si>
  <si>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</si>
  <si>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</si>
  <si>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</si>
  <si>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</si>
  <si>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</si>
  <si>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</si>
  <si>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</si>
  <si>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</si>
  <si>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</si>
  <si>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</si>
  <si>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</si>
  <si>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</si>
  <si>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</si>
  <si>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</si>
  <si>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</si>
  <si>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</si>
  <si>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</si>
  <si>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</si>
  <si>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</si>
  <si>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</si>
  <si>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</si>
  <si>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</si>
  <si>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</si>
  <si>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</si>
  <si>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</si>
  <si>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</si>
  <si>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</si>
  <si>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</si>
  <si>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</si>
  <si>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</si>
  <si>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</si>
  <si>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</si>
  <si>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</si>
  <si>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</si>
  <si>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</si>
  <si>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</si>
  <si>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</si>
  <si>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</si>
  <si>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</si>
  <si>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</si>
  <si>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</si>
  <si>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</si>
  <si>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</si>
  <si>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</si>
  <si>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</si>
  <si>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</si>
  <si>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</si>
  <si>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</si>
  <si>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</si>
  <si>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</si>
  <si>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</si>
  <si>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</si>
  <si>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</si>
  <si>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</si>
  <si>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</si>
  <si>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</si>
  <si>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</si>
  <si>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</si>
  <si>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</si>
  <si>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</si>
  <si>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</si>
  <si>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</si>
  <si>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</si>
  <si>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</si>
  <si>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</si>
  <si>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</si>
  <si>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</si>
  <si>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</si>
  <si>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</si>
  <si>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</si>
  <si>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</si>
  <si>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</si>
  <si>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</si>
  <si>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</si>
  <si>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</si>
  <si>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</si>
  <si>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</si>
  <si>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</si>
  <si>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</si>
  <si>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</si>
  <si>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</si>
  <si>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</si>
  <si>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</si>
  <si>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</si>
  <si>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</si>
  <si>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</si>
  <si>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</si>
  <si>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</si>
  <si>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</si>
  <si>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</si>
  <si>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</si>
  <si>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</si>
  <si>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</si>
  <si>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</si>
  <si>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</si>
  <si>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</si>
  <si>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</si>
  <si>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</si>
  <si>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</si>
  <si>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</si>
  <si>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</si>
  <si>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</si>
  <si>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</si>
  <si>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</si>
  <si>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</si>
  <si>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</si>
  <si>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</si>
  <si>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</si>
  <si>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</si>
  <si>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</si>
  <si>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</si>
  <si>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</si>
  <si>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</si>
  <si>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</si>
  <si>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</si>
  <si>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</si>
  <si>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</si>
  <si>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</si>
  <si>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</si>
  <si>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</si>
  <si>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</si>
  <si>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</si>
  <si>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</si>
  <si>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</si>
  <si>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</si>
  <si>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</si>
  <si>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</si>
  <si>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</si>
  <si>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</si>
  <si>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</si>
  <si>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</si>
  <si>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</si>
  <si>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</si>
  <si>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</si>
  <si>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</si>
  <si>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</si>
  <si>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</si>
  <si>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</si>
  <si>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</si>
  <si>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</si>
  <si>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</si>
  <si>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</si>
  <si>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</si>
  <si>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</si>
  <si>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</si>
  <si>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</si>
  <si>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</si>
  <si>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</si>
  <si>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</si>
  <si>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</si>
  <si>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</si>
  <si>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</si>
  <si>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</si>
  <si>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</si>
  <si>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</si>
  <si>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</si>
  <si>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</si>
  <si>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</si>
  <si>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</si>
  <si>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</si>
  <si>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</si>
  <si>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</si>
  <si>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</si>
  <si>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</si>
  <si>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</si>
  <si>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</si>
  <si>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</si>
  <si>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</si>
  <si>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</si>
  <si>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</si>
  <si>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</si>
  <si>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</si>
  <si>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</si>
  <si>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</si>
  <si>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</si>
  <si>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</si>
  <si>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</si>
  <si>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</si>
  <si>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</si>
  <si>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</si>
  <si>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</si>
  <si>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</si>
  <si>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</si>
  <si>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</si>
  <si>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</si>
  <si>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</si>
  <si>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</si>
  <si>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</si>
  <si>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</si>
  <si>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</si>
  <si>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</si>
  <si>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</si>
  <si>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</si>
  <si>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</si>
  <si>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</si>
  <si>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</si>
  <si>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</si>
  <si>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</si>
  <si>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</si>
  <si>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</si>
  <si>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</si>
  <si>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</si>
  <si>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</si>
  <si>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</si>
  <si>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</si>
  <si>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</si>
  <si>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</si>
  <si>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</si>
  <si>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</si>
  <si>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</si>
  <si>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</si>
  <si>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</si>
  <si>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</si>
  <si>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</si>
  <si>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</si>
  <si>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</si>
  <si>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</si>
  <si>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</si>
  <si>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</si>
  <si>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</si>
  <si>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</si>
  <si>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</si>
  <si>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</si>
  <si>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</si>
  <si>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</si>
  <si>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</si>
  <si>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</si>
  <si>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</si>
  <si>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</si>
  <si>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</si>
  <si>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</si>
  <si>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</si>
  <si>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</si>
  <si>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</si>
  <si>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</si>
  <si>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</si>
  <si>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</si>
  <si>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</si>
  <si>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</si>
  <si>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</si>
  <si>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</si>
  <si>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</si>
  <si>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</si>
  <si>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</si>
  <si>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</si>
  <si>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</si>
  <si>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</si>
  <si>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</si>
  <si>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</si>
  <si>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</si>
  <si>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</si>
  <si>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</si>
  <si>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</si>
  <si>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</si>
  <si>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</si>
  <si>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</si>
  <si>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</si>
  <si>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</si>
  <si>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</si>
  <si>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</si>
  <si>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</si>
  <si>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</si>
  <si>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</si>
  <si>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</si>
  <si>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</si>
  <si>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</si>
  <si>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</si>
  <si>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</si>
  <si>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</si>
  <si>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</si>
  <si>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</si>
  <si>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</si>
  <si>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</si>
  <si>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</si>
  <si>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</si>
  <si>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</si>
  <si>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</si>
  <si>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</si>
  <si>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</si>
  <si>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</si>
  <si>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</si>
  <si>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</si>
  <si>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</si>
  <si>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</si>
  <si>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</si>
  <si>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</si>
  <si>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</si>
  <si>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</si>
  <si>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</si>
  <si>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</si>
  <si>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</si>
  <si>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</si>
  <si>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</si>
  <si>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</si>
  <si>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</si>
  <si>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</si>
  <si>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</si>
  <si>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</si>
  <si>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</si>
  <si>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</si>
  <si>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</si>
  <si>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</si>
  <si>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</si>
  <si>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</si>
  <si>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</si>
  <si>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</si>
  <si>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</si>
  <si>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</si>
  <si>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</si>
  <si>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</si>
  <si>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</si>
  <si>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</si>
  <si>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</si>
  <si>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</si>
  <si>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</si>
  <si>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</si>
  <si>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</si>
  <si>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</si>
  <si>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</si>
  <si>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</si>
  <si>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</si>
  <si>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</si>
  <si>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</si>
  <si>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</si>
  <si>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</si>
  <si>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</si>
  <si>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</si>
  <si>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</si>
  <si>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</si>
  <si>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</si>
  <si>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</si>
  <si>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</si>
  <si>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</si>
  <si>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</si>
  <si>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</si>
  <si>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</si>
  <si>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</si>
  <si>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</si>
  <si>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</si>
  <si>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</si>
  <si>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</si>
  <si>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</si>
  <si>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</si>
  <si>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</si>
  <si>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</si>
  <si>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</si>
  <si>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</si>
  <si>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</si>
  <si>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</si>
  <si>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</si>
  <si>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</si>
  <si>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</si>
  <si>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</si>
  <si>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</si>
  <si>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</si>
  <si>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</si>
  <si>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</si>
  <si>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</si>
  <si>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</si>
  <si>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</si>
  <si>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</si>
  <si>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</si>
  <si>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</si>
  <si>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</si>
  <si>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</si>
  <si>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</si>
  <si>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</si>
  <si>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</si>
  <si>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</si>
  <si>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</si>
  <si>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</si>
  <si>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</si>
  <si>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</si>
  <si>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</si>
  <si>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</si>
  <si>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</si>
  <si>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</si>
  <si>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</si>
  <si>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</si>
  <si>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</si>
  <si>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</si>
  <si>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</si>
  <si>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</si>
  <si>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</si>
  <si>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</si>
  <si>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</si>
  <si>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</si>
  <si>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</si>
  <si>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</si>
  <si>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</si>
  <si>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</si>
  <si>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</si>
  <si>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</si>
  <si>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</si>
  <si>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</si>
  <si>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</si>
  <si>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</si>
  <si>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</si>
  <si>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</si>
  <si>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</si>
  <si>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</si>
  <si>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</si>
  <si>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</si>
  <si>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</si>
  <si>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</si>
  <si>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</si>
  <si>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</si>
  <si>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</si>
  <si>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</si>
  <si>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</si>
  <si>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</si>
  <si>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</si>
  <si>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</si>
  <si>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</si>
  <si>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</si>
  <si>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</si>
  <si>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</si>
  <si>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</si>
  <si>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</si>
  <si>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</si>
  <si>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</si>
  <si>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</si>
  <si>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</si>
  <si>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</si>
  <si>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</si>
  <si>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</si>
  <si>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</si>
  <si>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</si>
  <si>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</si>
  <si>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</si>
  <si>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</si>
  <si>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</si>
  <si>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</si>
  <si>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</si>
  <si>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</si>
  <si>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</si>
  <si>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</si>
  <si>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</si>
  <si>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</si>
  <si>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</si>
  <si>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</si>
  <si>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</si>
  <si>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</si>
  <si>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</si>
  <si>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</si>
  <si>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</si>
  <si>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</si>
  <si>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</si>
  <si>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</si>
  <si>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</si>
  <si>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</si>
  <si>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</si>
  <si>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</si>
  <si>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</si>
  <si>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</si>
  <si>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</si>
  <si>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</si>
  <si>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</si>
  <si>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</si>
  <si>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</si>
  <si>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</si>
  <si>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</si>
  <si>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</si>
  <si>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</si>
  <si>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</si>
  <si>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</si>
  <si>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</si>
  <si>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</si>
  <si>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</si>
  <si>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</si>
  <si>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</si>
  <si>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</si>
  <si>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</si>
  <si>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</si>
  <si>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</si>
  <si>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</si>
  <si>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</si>
  <si>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</si>
  <si>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</si>
  <si>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</si>
  <si>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</si>
  <si>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</si>
  <si>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</si>
  <si>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</si>
  <si>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</si>
  <si>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</si>
  <si>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</si>
  <si>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</si>
  <si>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</si>
  <si>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</si>
  <si>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</si>
  <si>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</si>
  <si>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</si>
  <si>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</si>
  <si>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</si>
  <si>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</si>
  <si>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</si>
  <si>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</si>
  <si>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</si>
  <si>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</si>
  <si>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</si>
  <si>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</si>
  <si>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</si>
  <si>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</si>
  <si>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</si>
  <si>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</si>
  <si>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</si>
  <si>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</si>
  <si>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</si>
  <si>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</si>
  <si>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</si>
  <si>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</si>
  <si>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</si>
  <si>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</si>
  <si>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</si>
  <si>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</si>
  <si>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</si>
  <si>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</si>
  <si>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</si>
  <si>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</si>
  <si>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</si>
  <si>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</si>
  <si>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</si>
  <si>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</si>
  <si>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</si>
  <si>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</si>
  <si>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</si>
  <si>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</si>
  <si>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</si>
  <si>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</si>
  <si>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</si>
  <si>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</si>
  <si>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</si>
  <si>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</si>
  <si>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</si>
  <si>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</si>
  <si>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</si>
  <si>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</si>
  <si>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</si>
  <si>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</si>
  <si>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</si>
  <si>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</si>
  <si>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</si>
  <si>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</si>
  <si>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</si>
  <si>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</si>
  <si>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</si>
  <si>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</si>
  <si>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</si>
  <si>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</si>
  <si>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</si>
  <si>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</si>
  <si>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</si>
  <si>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</si>
  <si>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</si>
  <si>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</si>
  <si>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</si>
  <si>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</si>
  <si>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</si>
  <si>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</si>
  <si>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</si>
  <si>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</si>
  <si>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</si>
  <si>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</si>
  <si>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</si>
  <si>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</si>
  <si>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</si>
  <si>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</si>
  <si>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</si>
  <si>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</si>
  <si>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</si>
  <si>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</si>
  <si>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</si>
  <si>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</si>
  <si>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</si>
  <si>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</si>
  <si>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</si>
  <si>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</si>
  <si>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</si>
  <si>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</si>
  <si>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</si>
  <si>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</si>
  <si>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</si>
  <si>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</si>
  <si>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</si>
  <si>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</si>
  <si>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</si>
  <si>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</si>
  <si>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</si>
  <si>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</si>
  <si>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</si>
  <si>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</si>
  <si>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</si>
  <si>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</si>
  <si>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</si>
  <si>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</si>
  <si>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</si>
  <si>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</si>
  <si>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</si>
  <si>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</si>
  <si>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</si>
  <si>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</si>
  <si>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</si>
  <si>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</si>
  <si>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</si>
  <si>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</si>
  <si>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</si>
  <si>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</si>
  <si>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</si>
  <si>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</si>
  <si>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</si>
  <si>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</si>
  <si>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</si>
  <si>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</si>
  <si>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</si>
  <si>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</si>
  <si>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</si>
  <si>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</si>
  <si>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</si>
  <si>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</si>
  <si>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</si>
  <si>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</si>
  <si>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</si>
  <si>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</si>
  <si>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</si>
  <si>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</si>
  <si>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</si>
  <si>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</si>
  <si>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</si>
  <si>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</si>
  <si>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</si>
  <si>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</si>
  <si>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</si>
  <si>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</si>
  <si>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</si>
  <si>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</si>
  <si>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</si>
  <si>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</si>
  <si>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</si>
  <si>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</si>
  <si>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</si>
  <si>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</si>
  <si>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</si>
  <si>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</si>
  <si>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</si>
  <si>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</si>
  <si>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</si>
  <si>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</si>
  <si>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</si>
  <si>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</si>
  <si>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</si>
  <si>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</si>
  <si>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</si>
  <si>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</si>
  <si>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</si>
  <si>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</si>
  <si>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</si>
  <si>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</si>
  <si>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</si>
  <si>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</si>
  <si>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</si>
  <si>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</si>
  <si>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</si>
  <si>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</si>
  <si>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</si>
  <si>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</si>
  <si>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</si>
  <si>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</si>
  <si>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</si>
  <si>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</si>
  <si>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</si>
  <si>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</si>
  <si>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</si>
  <si>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</si>
  <si>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</si>
  <si>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</si>
  <si>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</si>
  <si>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</si>
  <si>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</si>
  <si>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</si>
  <si>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</si>
  <si>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</si>
  <si>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</si>
  <si>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</si>
  <si>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</si>
  <si>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</si>
  <si>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</si>
  <si>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</si>
  <si>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</si>
  <si>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</si>
  <si>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</si>
  <si>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</si>
  <si>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</si>
  <si>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</si>
  <si>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</si>
  <si>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</si>
  <si>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</si>
  <si>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</si>
  <si>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</si>
  <si>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</si>
  <si>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</si>
  <si>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</si>
  <si>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</si>
  <si>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</si>
  <si>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</si>
  <si>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</si>
  <si>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</si>
  <si>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</si>
  <si>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</si>
  <si>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</si>
  <si>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</si>
  <si>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</si>
  <si>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</si>
  <si>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</si>
  <si>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</si>
  <si>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</si>
  <si>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</si>
  <si>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</si>
  <si>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</si>
  <si>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</si>
  <si>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</si>
  <si>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</si>
  <si>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</si>
  <si>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</si>
  <si>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</si>
  <si>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</si>
  <si>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</si>
  <si>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</si>
  <si>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</si>
  <si>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</si>
  <si>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</si>
  <si>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</si>
  <si>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</si>
  <si>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</si>
  <si>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</si>
  <si>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</si>
  <si>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</si>
  <si>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</si>
  <si>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</si>
  <si>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</si>
  <si>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</si>
  <si>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</si>
  <si>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</si>
  <si>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</si>
  <si>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</si>
  <si>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</si>
  <si>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</si>
  <si>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</si>
  <si>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</si>
  <si>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</si>
  <si>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</si>
  <si>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</si>
  <si>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</si>
  <si>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</si>
  <si>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</si>
  <si>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</si>
  <si>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</si>
  <si>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</si>
  <si>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</si>
  <si>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</si>
  <si>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</si>
  <si>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</si>
  <si>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</si>
  <si>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</si>
  <si>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</si>
  <si>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</si>
  <si>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</si>
  <si>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</si>
  <si>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</si>
  <si>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</si>
  <si>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</si>
  <si>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</si>
  <si>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</si>
  <si>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</si>
  <si>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</si>
  <si>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</si>
  <si>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</si>
  <si>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</si>
  <si>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</si>
  <si>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</si>
  <si>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</si>
  <si>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</si>
  <si>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</si>
  <si>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</si>
  <si>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</si>
  <si>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</si>
  <si>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</si>
  <si>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</si>
  <si>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</si>
  <si>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</si>
  <si>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</si>
  <si>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</si>
  <si>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</si>
  <si>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</si>
  <si>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</si>
  <si>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</si>
  <si>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</si>
  <si>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</si>
  <si>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</si>
  <si>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</si>
  <si>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</si>
  <si>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</si>
  <si>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</si>
  <si>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</si>
  <si>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</si>
  <si>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</si>
  <si>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</si>
  <si>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</si>
  <si>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</si>
  <si>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</si>
  <si>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</si>
  <si>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</si>
  <si>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</si>
  <si>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</si>
  <si>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</si>
  <si>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</si>
  <si>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</si>
  <si>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</si>
  <si>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</si>
  <si>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</si>
  <si>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</si>
  <si>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</si>
  <si>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</si>
  <si>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</si>
  <si>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</si>
  <si>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</si>
  <si>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</si>
  <si>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</si>
  <si>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</si>
  <si>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</si>
  <si>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</si>
  <si>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</si>
  <si>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</si>
  <si>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</si>
  <si>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</si>
  <si>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</si>
  <si>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</si>
  <si>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</si>
  <si>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</si>
  <si>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</si>
  <si>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</si>
  <si>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</si>
  <si>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</si>
  <si>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</si>
  <si>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</si>
  <si>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</si>
  <si>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</si>
  <si>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</si>
  <si>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</si>
  <si>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</si>
  <si>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</si>
  <si>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</si>
  <si>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</si>
  <si>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</si>
  <si>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</si>
  <si>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</si>
  <si>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</si>
  <si>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</si>
  <si>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</si>
  <si>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</si>
  <si>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</si>
  <si>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</si>
  <si>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</si>
  <si>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</si>
  <si>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</si>
  <si>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</si>
  <si>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</si>
  <si>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</si>
  <si>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</si>
  <si>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</si>
  <si>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</si>
  <si>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</si>
  <si>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</si>
  <si>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</si>
  <si>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</si>
  <si>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</si>
  <si>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</si>
  <si>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</si>
  <si>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</si>
  <si>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</si>
  <si>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</si>
  <si>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</si>
  <si>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</si>
  <si>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</si>
  <si>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</si>
  <si>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</si>
  <si>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</si>
  <si>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</si>
  <si>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</si>
  <si>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</si>
  <si>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</si>
  <si>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</si>
  <si>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</si>
  <si>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</si>
  <si>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</si>
  <si>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</si>
  <si>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</si>
  <si>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</si>
  <si>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</si>
  <si>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</si>
  <si>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</si>
  <si>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</si>
  <si>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</si>
  <si>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</si>
  <si>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</si>
  <si>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</si>
  <si>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</si>
  <si>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</si>
  <si>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</si>
  <si>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</si>
  <si>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</si>
  <si>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</si>
  <si>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</si>
  <si>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</si>
  <si>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</si>
  <si>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</si>
  <si>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</si>
  <si>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</si>
  <si>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</si>
  <si>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</si>
  <si>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</si>
  <si>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</si>
  <si>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</si>
  <si>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</si>
  <si>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</si>
  <si>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</si>
  <si>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</si>
  <si>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</si>
  <si>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</si>
  <si>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</si>
  <si>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</si>
  <si>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</si>
  <si>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</si>
  <si>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</si>
  <si>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</si>
  <si>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</si>
  <si>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</si>
  <si>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</si>
  <si>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</si>
  <si>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</si>
  <si>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</si>
  <si>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</si>
  <si>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</si>
  <si>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</si>
  <si>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</si>
  <si>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</si>
  <si>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</si>
  <si>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</si>
  <si>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</si>
  <si>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</si>
  <si>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</si>
  <si>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</si>
  <si>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</si>
  <si>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</si>
  <si>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</si>
  <si>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</si>
  <si>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</si>
  <si>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</si>
  <si>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</si>
  <si>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</si>
  <si>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</si>
  <si>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</si>
  <si>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</si>
  <si>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</si>
  <si>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</si>
  <si>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</si>
  <si>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</si>
  <si>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</si>
  <si>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</si>
  <si>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</si>
  <si>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</si>
  <si>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</si>
  <si>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</si>
  <si>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</si>
  <si>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</si>
  <si>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</si>
  <si>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</si>
  <si>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</si>
  <si>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</si>
  <si>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</si>
  <si>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</si>
  <si>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</si>
  <si>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</si>
  <si>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</si>
  <si>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</si>
  <si>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</si>
  <si>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</si>
  <si>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</si>
  <si>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</si>
  <si>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</si>
  <si>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</si>
  <si>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</si>
  <si>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</si>
  <si>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</si>
  <si>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</si>
  <si>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</si>
  <si>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</si>
  <si>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</si>
  <si>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</si>
  <si>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</si>
  <si>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</si>
  <si>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</si>
  <si>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</si>
  <si>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</si>
  <si>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</si>
  <si>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</si>
  <si>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</si>
  <si>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</si>
  <si>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</si>
  <si>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</si>
  <si>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</si>
  <si>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</si>
  <si>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</si>
  <si>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</si>
  <si>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</si>
  <si>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</si>
  <si>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</si>
  <si>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</si>
  <si>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</si>
  <si>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</si>
  <si>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</si>
  <si>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</si>
  <si>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</si>
  <si>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</si>
  <si>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</si>
  <si>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</si>
  <si>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</si>
  <si>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</si>
  <si>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</si>
  <si>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</si>
  <si>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</si>
  <si>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</si>
  <si>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</si>
  <si>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</si>
  <si>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</si>
  <si>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</si>
  <si>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</si>
  <si>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</si>
  <si>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</si>
  <si>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</si>
  <si>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</si>
  <si>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</si>
  <si>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</si>
  <si>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</si>
  <si>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</si>
  <si>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</si>
  <si>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</si>
  <si>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</si>
  <si>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</si>
  <si>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</si>
  <si>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</si>
  <si>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</si>
  <si>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</si>
  <si>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</si>
  <si>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</si>
  <si>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</si>
  <si>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</si>
  <si>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</si>
  <si>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</si>
  <si>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</si>
  <si>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</si>
  <si>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</si>
  <si>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</si>
  <si>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</si>
  <si>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</si>
  <si>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</si>
  <si>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</si>
  <si>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</si>
  <si>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</si>
  <si>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</si>
  <si>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</si>
  <si>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</si>
  <si>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</si>
  <si>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</si>
  <si>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</si>
  <si>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</si>
  <si>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</si>
  <si>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</si>
  <si>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</si>
  <si>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</si>
  <si>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</si>
  <si>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</si>
  <si>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</si>
  <si>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</si>
  <si>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</si>
  <si>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</si>
  <si>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</si>
  <si>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</si>
  <si>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</si>
  <si>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</si>
  <si>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</si>
  <si>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</si>
  <si>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</si>
  <si>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</si>
  <si>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</si>
  <si>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</si>
  <si>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</si>
  <si>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</si>
  <si>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</si>
  <si>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</si>
  <si>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</si>
  <si>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</si>
  <si>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</si>
  <si>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</si>
  <si>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</si>
  <si>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</si>
  <si>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</si>
  <si>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</si>
  <si>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</si>
  <si>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</si>
  <si>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</si>
  <si>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</si>
  <si>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</si>
  <si>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</si>
  <si>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</si>
  <si>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</si>
  <si>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</si>
  <si>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</si>
  <si>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</si>
  <si>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</si>
  <si>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</si>
  <si>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</si>
  <si>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</si>
  <si>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</si>
  <si>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</si>
  <si>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</si>
  <si>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</si>
  <si>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</si>
  <si>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</si>
  <si>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</si>
  <si>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</si>
  <si>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</si>
  <si>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</si>
  <si>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</si>
  <si>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</si>
  <si>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</si>
  <si>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</si>
  <si>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</si>
  <si>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</si>
  <si>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</si>
  <si>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</si>
  <si>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</si>
  <si>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</si>
  <si>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</si>
  <si>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</si>
  <si>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</si>
  <si>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</si>
  <si>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</si>
  <si>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</si>
  <si>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</si>
  <si>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</si>
  <si>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</si>
  <si>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</si>
  <si>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</si>
  <si>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</si>
  <si>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</si>
  <si>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</si>
  <si>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</si>
  <si>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</si>
  <si>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</si>
  <si>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</si>
  <si>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</si>
  <si>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</si>
  <si>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</si>
  <si>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</si>
  <si>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</si>
  <si>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</si>
  <si>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</si>
  <si>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</si>
  <si>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</si>
  <si>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</si>
  <si>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</si>
  <si>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</si>
  <si>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</si>
  <si>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</si>
  <si>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</si>
  <si>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</si>
  <si>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</si>
  <si>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</si>
  <si>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</si>
  <si>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</si>
  <si>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</si>
  <si>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</si>
  <si>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</si>
  <si>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</si>
  <si>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</si>
  <si>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</si>
  <si>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</si>
  <si>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</si>
  <si>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</si>
  <si>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</si>
  <si>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</si>
  <si>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</si>
  <si>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</si>
  <si>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</si>
  <si>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</si>
  <si>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</si>
  <si>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</si>
  <si>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</si>
  <si>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</si>
  <si>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</si>
  <si>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</si>
  <si>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</si>
  <si>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</si>
  <si>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</si>
  <si>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</si>
  <si>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</si>
  <si>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</si>
  <si>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</si>
  <si>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</si>
  <si>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</si>
  <si>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</si>
  <si>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</si>
  <si>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</si>
  <si>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</si>
  <si>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</si>
  <si>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</si>
  <si>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</si>
  <si>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</si>
  <si>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</si>
  <si>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</si>
  <si>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</si>
  <si>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</si>
  <si>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</si>
  <si>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</si>
  <si>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</si>
  <si>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</si>
  <si>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</si>
  <si>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</si>
  <si>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</si>
  <si>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</si>
  <si>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</si>
  <si>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</si>
  <si>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</si>
  <si>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</si>
  <si>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</si>
  <si>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</si>
  <si>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</si>
  <si>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</si>
  <si>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</si>
  <si>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</si>
  <si>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</si>
  <si>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</si>
  <si>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</si>
  <si>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</si>
  <si>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</si>
  <si>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</si>
  <si>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</si>
  <si>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</si>
  <si>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</si>
  <si>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</si>
  <si>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</si>
  <si>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</si>
  <si>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</si>
  <si>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</si>
  <si>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</si>
  <si>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</si>
  <si>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</si>
  <si>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</si>
  <si>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</si>
  <si>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</si>
  <si>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</si>
  <si>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</si>
  <si>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</si>
  <si>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</si>
  <si>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</si>
  <si>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</si>
  <si>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</si>
  <si>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</si>
  <si>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</si>
  <si>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</si>
  <si>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</si>
  <si>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</si>
  <si>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</si>
  <si>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</si>
  <si>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</si>
  <si>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</si>
  <si>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</si>
  <si>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</si>
  <si>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</si>
  <si>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</si>
  <si>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</si>
  <si>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</si>
  <si>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</si>
  <si>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</si>
  <si>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</si>
  <si>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</si>
  <si>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</si>
  <si>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</si>
  <si>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</si>
  <si>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</si>
  <si>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</si>
  <si>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</si>
  <si>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</si>
  <si>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</si>
  <si>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</si>
  <si>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</si>
  <si>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</si>
  <si>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</si>
  <si>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</si>
  <si>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</si>
  <si>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</si>
  <si>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</si>
  <si>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</si>
  <si>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</si>
  <si>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</si>
  <si>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</si>
  <si>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</si>
  <si>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</si>
  <si>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</si>
  <si>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</si>
  <si>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</si>
  <si>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</si>
  <si>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</si>
  <si>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</si>
  <si>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</si>
  <si>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</si>
  <si>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</si>
  <si>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</si>
  <si>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</si>
  <si>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</si>
  <si>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</si>
  <si>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</si>
  <si>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</si>
  <si>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</si>
  <si>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</si>
  <si>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</si>
  <si>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</si>
  <si>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</si>
  <si>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</si>
  <si>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</si>
  <si>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</si>
  <si>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</si>
  <si>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</si>
  <si>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</si>
  <si>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</si>
  <si>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</si>
  <si>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</si>
  <si>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</si>
  <si>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</si>
  <si>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</si>
  <si>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</si>
  <si>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</si>
  <si>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</si>
  <si>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</si>
  <si>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</si>
  <si>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</si>
  <si>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</si>
  <si>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</si>
  <si>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</si>
  <si>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</si>
  <si>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</si>
  <si>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</si>
  <si>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</si>
  <si>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</si>
  <si>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</si>
  <si>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</si>
  <si>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</si>
  <si>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</si>
  <si>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</si>
  <si>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</si>
  <si>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</si>
  <si>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</si>
  <si>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</si>
  <si>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</si>
  <si>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</si>
  <si>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</si>
  <si>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</si>
  <si>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</si>
  <si>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</si>
  <si>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</si>
  <si>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</si>
  <si>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</si>
  <si>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</si>
  <si>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</si>
  <si>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</si>
  <si>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</si>
  <si>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</si>
  <si>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</si>
  <si>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</si>
  <si>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</si>
  <si>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</si>
  <si>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</si>
  <si>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</si>
  <si>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</si>
  <si>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</si>
  <si>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</si>
  <si>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</si>
  <si>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</si>
  <si>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</si>
  <si>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</si>
  <si>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</si>
  <si>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</si>
  <si>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</si>
  <si>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</si>
  <si>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</si>
  <si>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</si>
  <si>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</si>
  <si>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</si>
  <si>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</si>
  <si>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</si>
  <si>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</si>
  <si>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</si>
  <si>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</si>
  <si>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</si>
  <si>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</si>
  <si>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</si>
  <si>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</si>
  <si>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</si>
  <si>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</si>
  <si>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</si>
  <si>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</si>
  <si>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</si>
  <si>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</si>
  <si>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</si>
  <si>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</si>
  <si>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</si>
  <si>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</si>
  <si>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</si>
  <si>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</si>
  <si>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</si>
  <si>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</si>
  <si>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</si>
  <si>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</si>
  <si>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</si>
  <si>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</si>
  <si>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</si>
  <si>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</si>
  <si>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</si>
  <si>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</si>
  <si>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</si>
  <si>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</si>
  <si>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</si>
  <si>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</si>
  <si>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</si>
  <si>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</si>
  <si>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</si>
  <si>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</si>
  <si>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</si>
  <si>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</si>
  <si>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</si>
  <si>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</si>
  <si>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</si>
  <si>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</si>
  <si>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</si>
  <si>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</si>
  <si>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</si>
  <si>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</si>
  <si>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</si>
  <si>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</si>
  <si>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</si>
  <si>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</si>
  <si>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</si>
  <si>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</si>
  <si>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</si>
  <si>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</si>
  <si>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</si>
  <si>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</si>
  <si>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</si>
  <si>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</si>
  <si>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</si>
  <si>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</si>
  <si>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</si>
  <si>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</si>
  <si>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</si>
  <si>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</si>
  <si>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</si>
  <si>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</si>
  <si>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</si>
  <si>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</si>
  <si>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</si>
  <si>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</si>
  <si>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</si>
  <si>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</si>
  <si>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</si>
  <si>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</si>
  <si>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</si>
  <si>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</si>
  <si>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</si>
  <si>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</si>
  <si>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</si>
  <si>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</si>
  <si>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</si>
  <si>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</si>
  <si>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</si>
  <si>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</si>
  <si>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</si>
  <si>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</si>
  <si>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</si>
  <si>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</si>
  <si>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</si>
  <si>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</si>
  <si>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</si>
  <si>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</si>
  <si>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</si>
  <si>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</si>
  <si>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</si>
  <si>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</si>
  <si>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</si>
  <si>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</si>
  <si>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</si>
  <si>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</si>
  <si>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</si>
  <si>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</si>
  <si>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</si>
  <si>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</si>
  <si>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</si>
  <si>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</si>
  <si>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</si>
  <si>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</si>
  <si>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</si>
  <si>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</si>
  <si>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</si>
  <si>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</si>
  <si>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</si>
  <si>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</si>
  <si>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</si>
  <si>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</si>
  <si>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</si>
  <si>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</si>
  <si>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</si>
  <si>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</si>
  <si>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</si>
  <si>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</si>
  <si>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</si>
  <si>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</si>
  <si>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</si>
  <si>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</si>
  <si>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</si>
  <si>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</si>
  <si>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</si>
  <si>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</si>
  <si>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</si>
  <si>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</si>
  <si>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</si>
  <si>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</si>
  <si>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</si>
  <si>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</si>
  <si>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</si>
  <si>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</si>
  <si>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</si>
  <si>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</si>
  <si>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</si>
  <si>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</si>
  <si>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</si>
  <si>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</si>
  <si>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</si>
  <si>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</si>
  <si>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</si>
  <si>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</si>
  <si>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</si>
  <si>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</si>
  <si>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</si>
  <si>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</si>
  <si>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</si>
  <si>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</si>
  <si>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</si>
  <si>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</si>
  <si>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</si>
  <si>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</si>
  <si>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</si>
  <si>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</si>
  <si>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</si>
  <si>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</si>
  <si>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</si>
  <si>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</si>
  <si>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</si>
  <si>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</si>
  <si>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</si>
  <si>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</si>
  <si>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</si>
  <si>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</si>
  <si>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</si>
  <si>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</si>
  <si>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</si>
  <si>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</si>
  <si>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</si>
  <si>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</si>
  <si>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</si>
  <si>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</si>
  <si>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</si>
  <si>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</si>
  <si>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</si>
  <si>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</si>
  <si>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</si>
  <si>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</si>
  <si>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</si>
  <si>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</si>
  <si>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</si>
  <si>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</si>
  <si>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</si>
  <si>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</si>
  <si>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</si>
  <si>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</si>
  <si>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</si>
  <si>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</si>
  <si>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</si>
  <si>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</si>
  <si>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</si>
  <si>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</si>
  <si>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</si>
  <si>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</si>
  <si>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</si>
  <si>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</si>
  <si>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</si>
  <si>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</si>
  <si>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</si>
  <si>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</si>
  <si>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</si>
  <si>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</si>
  <si>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</si>
  <si>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</si>
  <si>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</si>
  <si>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</si>
  <si>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</si>
  <si>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</si>
  <si>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</si>
  <si>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</si>
  <si>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</si>
  <si>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</si>
  <si>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</si>
  <si>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</si>
  <si>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</si>
  <si>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</si>
  <si>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</si>
  <si>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</si>
  <si>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</si>
  <si>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</si>
  <si>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</si>
  <si>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</si>
  <si>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</si>
  <si>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</si>
  <si>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</si>
  <si>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</si>
  <si>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</si>
  <si>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</si>
  <si>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</si>
  <si>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</si>
  <si>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</si>
  <si>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</si>
  <si>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</si>
  <si>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</si>
  <si>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</si>
  <si>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</si>
  <si>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</si>
  <si>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</si>
  <si>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</si>
  <si>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</si>
  <si>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</si>
  <si>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</si>
  <si>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</si>
  <si>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</si>
  <si>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</si>
  <si>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</si>
  <si>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</si>
  <si>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</si>
  <si>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</si>
  <si>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</si>
  <si>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</si>
  <si>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</si>
  <si>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</si>
  <si>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</si>
  <si>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</si>
  <si>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</si>
  <si>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</si>
  <si>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</si>
  <si>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</si>
  <si>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</si>
  <si>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</si>
  <si>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</si>
  <si>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</si>
  <si>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</si>
  <si>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</si>
  <si>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</si>
  <si>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</si>
  <si>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</si>
  <si>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</si>
  <si>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</si>
  <si>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</si>
  <si>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</si>
  <si>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</si>
  <si>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</si>
  <si>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</si>
  <si>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</si>
  <si>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</si>
  <si>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</si>
  <si>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</si>
  <si>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</si>
  <si>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</si>
  <si>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</si>
  <si>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</si>
  <si>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</si>
  <si>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</si>
  <si>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</si>
  <si>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</si>
  <si>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</si>
  <si>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</si>
  <si>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</si>
  <si>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</si>
  <si>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</si>
  <si>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</si>
  <si>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</si>
  <si>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</si>
  <si>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</si>
  <si>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</si>
  <si>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</si>
  <si>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</si>
  <si>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</si>
  <si>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</si>
  <si>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</si>
  <si>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</si>
  <si>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</si>
  <si>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</si>
  <si>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</si>
  <si>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</si>
  <si>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</si>
  <si>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</si>
  <si>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</si>
  <si>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</si>
  <si>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</si>
  <si>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</si>
  <si>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</si>
  <si>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</si>
  <si>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</si>
  <si>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</si>
  <si>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</si>
  <si>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</si>
  <si>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</si>
  <si>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</si>
  <si>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</si>
  <si>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</si>
  <si>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</si>
  <si>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</si>
  <si>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</si>
  <si>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</si>
  <si>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</si>
  <si>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</si>
  <si>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</si>
  <si>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</si>
  <si>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</si>
  <si>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</si>
  <si>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</si>
  <si>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</si>
  <si>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</si>
  <si>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</si>
  <si>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</si>
  <si>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</si>
  <si>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</si>
  <si>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</si>
  <si>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</si>
  <si>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</si>
  <si>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</si>
  <si>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</si>
  <si>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</si>
  <si>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</si>
  <si>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</si>
  <si>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</si>
  <si>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</si>
  <si>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</si>
  <si>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</si>
  <si>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</si>
  <si>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</si>
  <si>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</si>
  <si>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</si>
  <si>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</si>
  <si>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</si>
  <si>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</si>
  <si>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</si>
  <si>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</si>
  <si>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</si>
  <si>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</si>
  <si>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</si>
  <si>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</si>
  <si>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</si>
  <si>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</si>
  <si>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</si>
  <si>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</si>
  <si>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</si>
  <si>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</si>
  <si>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</si>
  <si>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</si>
  <si>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</si>
  <si>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</si>
  <si>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</si>
  <si>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</si>
  <si>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</si>
  <si>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</si>
  <si>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</si>
  <si>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</si>
  <si>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</si>
  <si>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</si>
  <si>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</si>
  <si>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</si>
  <si>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</si>
  <si>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</si>
  <si>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</si>
  <si>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</si>
  <si>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</si>
  <si>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</si>
  <si>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</si>
  <si>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</si>
  <si>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</si>
  <si>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</si>
  <si>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</si>
  <si>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</si>
  <si>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</si>
  <si>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</si>
  <si>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</si>
  <si>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</si>
  <si>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</si>
  <si>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</si>
  <si>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</si>
  <si>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</si>
  <si>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</si>
  <si>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</si>
  <si>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</si>
  <si>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</si>
  <si>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</si>
  <si>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</si>
  <si>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</si>
  <si>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</si>
  <si>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</si>
  <si>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</si>
  <si>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</si>
  <si>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</si>
  <si>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</si>
  <si>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</si>
  <si>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</si>
  <si>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</si>
  <si>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</si>
  <si>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</si>
  <si>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</si>
  <si>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</si>
  <si>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</si>
  <si>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</si>
  <si>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</si>
  <si>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</si>
  <si>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</si>
  <si>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</si>
  <si>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</si>
  <si>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</si>
  <si>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</si>
  <si>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</si>
  <si>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</si>
  <si>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</si>
  <si>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</si>
  <si>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</si>
  <si>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</si>
  <si>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</si>
  <si>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</si>
  <si>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</si>
  <si>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</si>
  <si>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</si>
  <si>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</si>
  <si>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</si>
  <si>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</si>
  <si>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</si>
  <si>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</si>
  <si>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</si>
  <si>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</si>
  <si>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</si>
  <si>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</si>
  <si>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</si>
  <si>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</si>
  <si>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</si>
  <si>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</si>
  <si>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</si>
  <si>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</si>
  <si>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</si>
  <si>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</si>
  <si>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</si>
  <si>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</si>
  <si>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</si>
  <si>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</si>
  <si>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</si>
  <si>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</si>
  <si>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</si>
  <si>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</si>
  <si>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</si>
  <si>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</si>
  <si>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</si>
  <si>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</si>
  <si>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</si>
  <si>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</si>
  <si>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</si>
  <si>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</si>
  <si>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</si>
  <si>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</si>
  <si>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</si>
  <si>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</si>
  <si>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</si>
  <si>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</si>
  <si>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</si>
  <si>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</si>
  <si>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</si>
  <si>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</si>
  <si>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</si>
  <si>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</si>
  <si>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</si>
  <si>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</si>
  <si>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</si>
  <si>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</si>
  <si>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</si>
  <si>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</si>
  <si>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</si>
  <si>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</si>
  <si>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</si>
  <si>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</si>
  <si>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</si>
  <si>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</si>
  <si>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</si>
  <si>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</si>
  <si>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</si>
  <si>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</si>
  <si>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</si>
  <si>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</si>
  <si>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</si>
  <si>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</si>
  <si>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</si>
  <si>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</si>
  <si>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</si>
  <si>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</si>
  <si>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</si>
  <si>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</si>
  <si>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</si>
  <si>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</si>
  <si>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</si>
  <si>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</si>
  <si>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</si>
  <si>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</si>
  <si>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</si>
  <si>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</si>
  <si>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</si>
  <si>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</si>
  <si>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</si>
  <si>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</si>
  <si>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</si>
  <si>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</si>
  <si>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</si>
  <si>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</si>
  <si>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</si>
  <si>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</si>
  <si>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</si>
  <si>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</si>
  <si>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</si>
  <si>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</si>
  <si>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</si>
  <si>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</si>
  <si>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</si>
  <si>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</si>
  <si>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</si>
  <si>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</si>
  <si>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</si>
  <si>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</si>
  <si>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</si>
  <si>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</si>
  <si>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</si>
  <si>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</si>
  <si>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</si>
  <si>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</si>
  <si>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</si>
  <si>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</si>
  <si>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</si>
  <si>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</si>
  <si>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</si>
  <si>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</si>
  <si>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</si>
  <si>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</si>
  <si>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</si>
  <si>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</si>
  <si>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</si>
  <si>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</si>
  <si>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</si>
  <si>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</si>
  <si>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</si>
  <si>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</si>
  <si>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</si>
  <si>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</si>
  <si>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</si>
  <si>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</si>
  <si>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</si>
  <si>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</si>
  <si>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</si>
  <si>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</si>
  <si>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</si>
  <si>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</si>
  <si>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</si>
  <si>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</si>
  <si>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</si>
  <si>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</si>
  <si>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</si>
  <si>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</si>
  <si>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</si>
  <si>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</si>
  <si>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</si>
  <si>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</si>
  <si>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</si>
  <si>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</si>
  <si>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</si>
  <si>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</si>
  <si>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</si>
  <si>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</si>
  <si>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</si>
  <si>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</si>
  <si>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</si>
  <si>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</si>
  <si>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</si>
  <si>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</si>
  <si>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</si>
  <si>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</si>
  <si>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</si>
  <si>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</si>
  <si>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</si>
  <si>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</si>
  <si>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</si>
  <si>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</si>
  <si>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</si>
  <si>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</si>
  <si>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</si>
  <si>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</si>
  <si>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</si>
  <si>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</si>
  <si>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</si>
  <si>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</si>
  <si>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</si>
  <si>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</si>
  <si>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</si>
  <si>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</si>
  <si>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</si>
  <si>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</si>
  <si>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</si>
  <si>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</si>
  <si>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</si>
  <si>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</si>
  <si>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</si>
  <si>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</si>
  <si>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</si>
  <si>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</si>
  <si>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</si>
  <si>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</si>
  <si>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</si>
  <si>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</si>
  <si>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</si>
  <si>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</si>
  <si>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</si>
  <si>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</si>
  <si>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</si>
  <si>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</si>
  <si>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</si>
  <si>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</si>
  <si>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</si>
  <si>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</si>
  <si>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</si>
  <si>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</si>
  <si>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</si>
  <si>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</si>
  <si>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</si>
  <si>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</si>
  <si>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</si>
  <si>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</si>
  <si>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</si>
  <si>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</si>
  <si>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</si>
  <si>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</si>
  <si>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</si>
  <si>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</si>
  <si>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</si>
  <si>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</si>
  <si>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</si>
  <si>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</si>
  <si>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</si>
  <si>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</si>
  <si>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</si>
  <si>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</si>
  <si>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</si>
  <si>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</si>
  <si>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</si>
  <si>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</si>
  <si>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</si>
  <si>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</si>
  <si>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</si>
  <si>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</si>
  <si>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</si>
  <si>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</si>
  <si>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</si>
  <si>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</si>
  <si>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</si>
  <si>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</si>
  <si>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</si>
  <si>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</si>
  <si>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</si>
  <si>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</si>
  <si>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</si>
  <si>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</si>
  <si>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</si>
  <si>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</si>
  <si>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</si>
  <si>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</si>
  <si>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</si>
  <si>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</si>
  <si>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</si>
  <si>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</si>
  <si>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</si>
  <si>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</si>
  <si>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</si>
  <si>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</si>
  <si>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</si>
  <si>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</si>
  <si>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</si>
  <si>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</si>
  <si>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</si>
  <si>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</si>
  <si>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</si>
  <si>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</si>
  <si>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</si>
  <si>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</si>
  <si>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</si>
  <si>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</si>
  <si>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</si>
  <si>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</si>
  <si>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</si>
  <si>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</si>
  <si>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</si>
  <si>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</si>
  <si>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</si>
  <si>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</si>
  <si>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</si>
  <si>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</si>
  <si>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</si>
  <si>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</si>
  <si>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</si>
  <si>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</si>
  <si>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</si>
  <si>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</si>
  <si>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</si>
  <si>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</si>
  <si>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</si>
  <si>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</si>
  <si>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</si>
  <si>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</si>
  <si>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</si>
  <si>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</si>
  <si>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</si>
  <si>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</si>
  <si>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</si>
  <si>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</si>
  <si>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</si>
  <si>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</si>
  <si>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</si>
  <si>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</si>
  <si>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</si>
  <si>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</si>
  <si>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</si>
  <si>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</si>
  <si>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</si>
  <si>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</si>
  <si>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</si>
  <si>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</si>
  <si>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</si>
  <si>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</si>
  <si>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</si>
  <si>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</si>
  <si>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</si>
  <si>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</si>
  <si>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</si>
  <si>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</si>
  <si>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</si>
  <si>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</si>
  <si>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</si>
  <si>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</si>
  <si>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</si>
  <si>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</si>
  <si>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</si>
  <si>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</si>
  <si>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</si>
  <si>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</si>
  <si>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</si>
  <si>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</si>
  <si>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</si>
  <si>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</si>
  <si>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</si>
  <si>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</si>
  <si>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</si>
  <si>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</si>
  <si>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</si>
  <si>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</si>
  <si>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</si>
  <si>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</si>
  <si>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</si>
  <si>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</si>
  <si>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</si>
  <si>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</si>
  <si>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</si>
  <si>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</si>
  <si>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</si>
  <si>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</si>
  <si>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</si>
  <si>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</si>
  <si>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</si>
  <si>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</si>
  <si>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</si>
  <si>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</si>
  <si>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</si>
  <si>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</si>
  <si>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</si>
  <si>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</si>
  <si>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</si>
  <si>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</si>
  <si>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</si>
  <si>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</si>
  <si>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</si>
  <si>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</si>
  <si>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</si>
  <si>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</si>
  <si>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</si>
  <si>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</si>
  <si>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</si>
  <si>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</si>
  <si>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</si>
  <si>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</si>
  <si>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</si>
  <si>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</si>
  <si>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</si>
  <si>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</si>
  <si>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</si>
  <si>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</si>
  <si>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</si>
  <si>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</si>
  <si>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</si>
  <si>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</si>
  <si>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</si>
  <si>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</si>
  <si>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</si>
  <si>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</si>
  <si>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</si>
  <si>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</si>
  <si>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</si>
  <si>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</si>
  <si>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</si>
  <si>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</si>
  <si>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</si>
  <si>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</si>
  <si>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</si>
  <si>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</si>
  <si>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</si>
  <si>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</si>
  <si>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</si>
  <si>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</si>
  <si>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</si>
  <si>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</si>
  <si>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</si>
  <si>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</si>
  <si>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</si>
  <si>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</si>
  <si>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</si>
  <si>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</si>
  <si>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</si>
  <si>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</si>
  <si>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</si>
  <si>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</si>
  <si>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</si>
  <si>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</si>
  <si>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</si>
  <si>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</si>
  <si>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</si>
  <si>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</si>
  <si>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</si>
  <si>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</si>
  <si>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</si>
  <si>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</si>
  <si>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</si>
  <si>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</si>
  <si>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</si>
  <si>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</si>
  <si>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</si>
  <si>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</si>
  <si>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</si>
  <si>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</si>
  <si>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</si>
  <si>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</si>
  <si>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</si>
  <si>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</si>
  <si>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</si>
  <si>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</si>
  <si>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</si>
  <si>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</si>
  <si>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</si>
  <si>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</si>
  <si>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</si>
  <si>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</si>
  <si>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</si>
  <si>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</si>
  <si>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</si>
  <si>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</si>
  <si>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</si>
  <si>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</si>
  <si>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</si>
  <si>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</si>
  <si>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</si>
  <si>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</si>
  <si>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</si>
  <si>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</si>
  <si>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</si>
  <si>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</si>
  <si>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</si>
  <si>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</si>
  <si>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</si>
  <si>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</si>
  <si>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</si>
  <si>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</si>
  <si>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</si>
  <si>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</si>
  <si>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</si>
  <si>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</si>
  <si>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</si>
  <si>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</si>
  <si>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</si>
  <si>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</si>
  <si>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</si>
  <si>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</si>
  <si>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</si>
  <si>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</si>
  <si>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</si>
  <si>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</si>
  <si>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</si>
  <si>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</si>
  <si>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</si>
  <si>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</si>
  <si>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</si>
  <si>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</si>
  <si>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</si>
  <si>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</si>
  <si>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</si>
  <si>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</si>
  <si>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</si>
  <si>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</si>
  <si>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</si>
  <si>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</si>
  <si>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</si>
  <si>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</si>
  <si>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</si>
  <si>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</si>
  <si>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</si>
  <si>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</si>
  <si>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</si>
  <si>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</si>
  <si>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</si>
  <si>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</si>
  <si>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</si>
  <si>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</si>
  <si>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</si>
  <si>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</si>
  <si>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</si>
  <si>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</si>
  <si>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</si>
  <si>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</si>
  <si>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</si>
  <si>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</si>
  <si>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</si>
  <si>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</si>
  <si>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</si>
  <si>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</si>
  <si>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</si>
  <si>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</si>
  <si>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</si>
  <si>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</si>
  <si>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</si>
  <si>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</si>
  <si>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</si>
  <si>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</si>
  <si>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</si>
  <si>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</si>
  <si>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</si>
  <si>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</si>
  <si>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</si>
  <si>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</si>
  <si>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</si>
  <si>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</si>
  <si>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</si>
  <si>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</si>
  <si>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</si>
  <si>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</si>
  <si>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</si>
  <si>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</si>
  <si>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</si>
  <si>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</si>
  <si>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</si>
  <si>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</si>
  <si>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</si>
  <si>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</si>
  <si>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</si>
  <si>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</si>
  <si>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</si>
  <si>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</si>
  <si>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</si>
  <si>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</si>
  <si>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</si>
  <si>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</si>
  <si>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</si>
  <si>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</si>
  <si>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</si>
  <si>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</si>
  <si>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</si>
  <si>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</si>
  <si>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</si>
  <si>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</si>
  <si>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</si>
  <si>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</si>
  <si>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</si>
  <si>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</si>
  <si>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</si>
  <si>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</si>
  <si>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</si>
  <si>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</si>
  <si>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</si>
  <si>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</si>
  <si>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</si>
  <si>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</si>
  <si>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</si>
  <si>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</si>
  <si>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</si>
  <si>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</si>
  <si>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</si>
  <si>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</si>
  <si>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</si>
  <si>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</si>
  <si>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</si>
  <si>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</si>
  <si>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</si>
  <si>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</si>
  <si>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</si>
  <si>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</si>
  <si>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</si>
  <si>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</si>
  <si>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</si>
  <si>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</si>
  <si>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</si>
  <si>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</si>
  <si>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</si>
  <si>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</si>
  <si>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</si>
  <si>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</si>
  <si>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</si>
  <si>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</si>
  <si>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</si>
  <si>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</si>
  <si>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</si>
  <si>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</si>
  <si>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</si>
  <si>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</si>
  <si>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</si>
  <si>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</si>
  <si>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</si>
  <si>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</si>
  <si>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</si>
  <si>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</si>
  <si>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</si>
  <si>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</si>
  <si>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</si>
  <si>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</si>
  <si>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</si>
  <si>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</si>
  <si>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</si>
  <si>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</si>
  <si>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</si>
  <si>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</si>
  <si>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</si>
  <si>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</si>
  <si>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</si>
  <si>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</si>
  <si>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</si>
  <si>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</si>
  <si>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</si>
  <si>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</si>
  <si>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</si>
  <si>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</si>
  <si>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</si>
  <si>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</si>
  <si>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</si>
  <si>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</si>
  <si>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</si>
  <si>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</si>
  <si>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</si>
  <si>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</si>
  <si>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</si>
  <si>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</si>
  <si>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</si>
  <si>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</si>
  <si>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</si>
  <si>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</si>
  <si>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</si>
  <si>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</si>
  <si>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</si>
  <si>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</si>
  <si>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</si>
  <si>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</si>
  <si>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</si>
  <si>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</si>
  <si>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</si>
  <si>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</si>
  <si>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</si>
  <si>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</si>
  <si>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</si>
  <si>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</si>
  <si>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</si>
  <si>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</si>
  <si>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</si>
  <si>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</si>
  <si>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</si>
  <si>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</si>
  <si>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</si>
  <si>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</si>
  <si>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</si>
  <si>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</si>
  <si>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</si>
  <si>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</si>
  <si>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</si>
  <si>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</si>
  <si>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</si>
  <si>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</si>
  <si>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</si>
  <si>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</si>
  <si>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</si>
  <si>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</si>
  <si>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</si>
  <si>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</si>
  <si>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</si>
  <si>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</si>
  <si>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</si>
  <si>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</si>
  <si>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</si>
  <si>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</si>
  <si>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</si>
  <si>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</si>
  <si>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</si>
  <si>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</si>
  <si>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</si>
  <si>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</si>
  <si>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</si>
  <si>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</si>
  <si>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</si>
  <si>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</si>
  <si>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</si>
  <si>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</si>
  <si>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</si>
  <si>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</si>
  <si>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</si>
  <si>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</si>
  <si>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</si>
  <si>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</si>
  <si>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</si>
  <si>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</si>
  <si>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</si>
  <si>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</si>
  <si>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</si>
  <si>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</si>
  <si>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</si>
  <si>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</si>
  <si>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</si>
  <si>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</si>
  <si>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</si>
  <si>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</si>
  <si>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</si>
  <si>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</si>
  <si>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</si>
  <si>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</si>
  <si>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</si>
  <si>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</si>
  <si>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</si>
  <si>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</si>
  <si>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</si>
  <si>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</si>
  <si>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</si>
  <si>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</si>
  <si>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</si>
  <si>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</si>
  <si>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</si>
  <si>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</si>
  <si>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</si>
  <si>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</si>
  <si>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</si>
  <si>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</si>
  <si>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</si>
  <si>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</si>
  <si>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</si>
  <si>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</si>
  <si>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</si>
  <si>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</si>
  <si>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</si>
  <si>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</si>
  <si>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</si>
  <si>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</si>
  <si>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</si>
  <si>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</si>
  <si>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</si>
  <si>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</si>
  <si>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</si>
  <si>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</si>
  <si>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</si>
  <si>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</si>
  <si>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</si>
  <si>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</si>
  <si>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</si>
  <si>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</si>
  <si>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</si>
  <si>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</si>
  <si>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</si>
  <si>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</si>
  <si>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</si>
  <si>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</si>
  <si>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</si>
  <si>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</si>
  <si>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</si>
  <si>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</si>
  <si>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</si>
  <si>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</si>
  <si>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</si>
  <si>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</si>
  <si>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</si>
  <si>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</si>
  <si>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</si>
  <si>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</si>
  <si>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</si>
  <si>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</si>
  <si>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</si>
  <si>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</si>
  <si>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</si>
  <si>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</si>
  <si>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</si>
  <si>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</si>
  <si>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</si>
  <si>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</si>
  <si>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</si>
  <si>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</si>
  <si>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</si>
  <si>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</si>
  <si>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</si>
  <si>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</si>
  <si>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</si>
  <si>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</si>
  <si>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</si>
  <si>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</si>
  <si>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</si>
  <si>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</si>
  <si>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</si>
  <si>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</si>
  <si>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</si>
  <si>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</si>
  <si>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</si>
  <si>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</si>
  <si>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</si>
  <si>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</si>
  <si>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</si>
  <si>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</si>
  <si>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</si>
  <si>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</si>
  <si>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</si>
  <si>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</si>
  <si>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</si>
  <si>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</si>
  <si>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</si>
  <si>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</si>
  <si>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</si>
  <si>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</si>
  <si>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</si>
  <si>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</si>
  <si>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</si>
  <si>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</si>
  <si>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</si>
  <si>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</si>
  <si>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</si>
  <si>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</si>
  <si>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</si>
  <si>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</si>
  <si>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</si>
  <si>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</si>
  <si>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</si>
  <si>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</si>
  <si>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</si>
  <si>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</si>
  <si>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</si>
  <si>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</si>
  <si>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</si>
  <si>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</si>
  <si>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</si>
  <si>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</si>
  <si>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</si>
  <si>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</si>
  <si>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</si>
  <si>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</si>
  <si>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</si>
  <si>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</si>
  <si>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</si>
  <si>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</si>
  <si>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</si>
  <si>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</si>
  <si>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</si>
  <si>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</si>
  <si>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</si>
  <si>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</si>
  <si>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</si>
  <si>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</si>
  <si>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</si>
  <si>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</si>
  <si>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</si>
  <si>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</si>
  <si>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</si>
  <si>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</si>
  <si>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</si>
  <si>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</si>
  <si>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</si>
  <si>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</si>
  <si>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</si>
  <si>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</si>
  <si>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</si>
  <si>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</si>
  <si>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</si>
  <si>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</si>
  <si>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</si>
  <si>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</si>
  <si>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</si>
  <si>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</si>
  <si>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</si>
  <si>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</si>
  <si>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</si>
  <si>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</si>
  <si>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</si>
  <si>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</si>
  <si>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</si>
  <si>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</si>
  <si>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</si>
  <si>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</si>
  <si>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</si>
  <si>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</si>
  <si>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</si>
  <si>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</si>
  <si>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</si>
  <si>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</si>
  <si>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</si>
  <si>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</si>
  <si>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</si>
  <si>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</si>
  <si>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</si>
  <si>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</si>
  <si>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</si>
  <si>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</si>
  <si>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</si>
  <si>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</si>
  <si>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</si>
  <si>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</si>
  <si>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</si>
  <si>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</si>
  <si>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</si>
  <si>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</si>
  <si>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</si>
  <si>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</si>
  <si>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</si>
  <si>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</si>
  <si>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</si>
  <si>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</si>
  <si>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</si>
  <si>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</si>
  <si>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</si>
  <si>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</si>
  <si>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</si>
  <si>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</si>
  <si>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</si>
  <si>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</si>
  <si>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</si>
  <si>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</si>
  <si>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</si>
  <si>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</si>
  <si>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</si>
  <si>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</si>
  <si>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</si>
  <si>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</si>
  <si>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</si>
  <si>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</si>
  <si>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</si>
  <si>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</si>
  <si>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</si>
  <si>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</si>
  <si>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</si>
  <si>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</si>
  <si>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</si>
  <si>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</si>
  <si>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</si>
  <si>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</si>
  <si>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</si>
  <si>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</si>
  <si>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</si>
  <si>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</si>
  <si>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</si>
  <si>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</si>
  <si>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</si>
  <si>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</si>
  <si>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</si>
  <si>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</si>
  <si>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</si>
  <si>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</si>
  <si>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</si>
  <si>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</si>
  <si>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</si>
  <si>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</si>
  <si>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</si>
  <si>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</si>
  <si>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</si>
  <si>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</si>
  <si>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</si>
  <si>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</si>
  <si>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</si>
  <si>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</si>
  <si>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</si>
  <si>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</si>
  <si>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</si>
  <si>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</si>
  <si>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</si>
  <si>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</si>
  <si>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</si>
  <si>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</si>
  <si>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</si>
  <si>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</si>
  <si>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</si>
  <si>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</si>
  <si>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</si>
  <si>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</si>
  <si>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</si>
  <si>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</si>
  <si>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</si>
  <si>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</si>
  <si>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</si>
  <si>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</si>
  <si>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</si>
  <si>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</si>
  <si>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</si>
  <si>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</si>
  <si>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</si>
  <si>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</si>
  <si>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</si>
  <si>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</si>
  <si>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</si>
  <si>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</si>
  <si>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</si>
  <si>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</si>
  <si>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</si>
  <si>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</si>
  <si>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</si>
  <si>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</si>
  <si>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</si>
  <si>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</si>
  <si>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</si>
  <si>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</si>
  <si>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</si>
  <si>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</si>
  <si>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</si>
  <si>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</si>
  <si>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</si>
  <si>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</si>
  <si>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</si>
  <si>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</si>
  <si>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</si>
  <si>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</si>
  <si>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</si>
  <si>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</si>
  <si>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</si>
  <si>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</si>
  <si>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</si>
  <si>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</si>
  <si>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</si>
  <si>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</si>
  <si>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</si>
  <si>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</si>
  <si>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</si>
  <si>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</si>
  <si>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</si>
  <si>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</si>
  <si>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</si>
  <si>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</si>
  <si>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</si>
  <si>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</si>
  <si>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</si>
  <si>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</si>
  <si>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</si>
  <si>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</si>
  <si>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</si>
  <si>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</si>
  <si>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</si>
  <si>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</si>
  <si>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</si>
  <si>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</si>
  <si>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</si>
  <si>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</si>
  <si>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</si>
  <si>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</si>
  <si>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</si>
  <si>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</si>
  <si>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</si>
  <si>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</si>
  <si>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</si>
  <si>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</si>
  <si>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</si>
  <si>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</si>
  <si>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</si>
  <si>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</si>
  <si>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</si>
  <si>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</si>
  <si>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</si>
  <si>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</si>
  <si>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</si>
  <si>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</si>
  <si>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</si>
  <si>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</si>
  <si>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</si>
  <si>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</si>
  <si>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</si>
  <si>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</si>
  <si>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</si>
  <si>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</si>
  <si>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</si>
  <si>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</si>
  <si>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</si>
  <si>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</si>
  <si>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</si>
  <si>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</si>
  <si>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</si>
  <si>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</si>
  <si>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</si>
  <si>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</si>
  <si>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</si>
  <si>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</si>
  <si>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</si>
  <si>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</si>
  <si>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</si>
  <si>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</si>
  <si>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</si>
  <si>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</si>
  <si>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</si>
  <si>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</si>
  <si>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</si>
  <si>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</si>
  <si>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</si>
  <si>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</si>
  <si>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</si>
  <si>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</si>
  <si>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</si>
  <si>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</si>
  <si>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</si>
  <si>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</si>
  <si>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</si>
  <si>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</si>
  <si>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</si>
  <si>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</si>
  <si>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</si>
  <si>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</si>
  <si>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</si>
  <si>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</si>
  <si>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</si>
  <si>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</si>
  <si>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</si>
  <si>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</si>
  <si>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</si>
  <si>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</si>
  <si>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</si>
  <si>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</si>
  <si>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</si>
  <si>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</si>
  <si>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</si>
  <si>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</si>
  <si>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</si>
  <si>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</si>
  <si>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</si>
  <si>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</si>
  <si>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</si>
  <si>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</si>
  <si>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</si>
  <si>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</si>
  <si>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</si>
  <si>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</si>
  <si>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</si>
  <si>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</si>
  <si>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</si>
  <si>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</si>
  <si>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</si>
  <si>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</si>
  <si>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</si>
  <si>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</si>
  <si>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</si>
  <si>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</si>
  <si>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</si>
  <si>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</si>
  <si>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</si>
  <si>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</si>
  <si>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</si>
  <si>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</si>
  <si>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</si>
  <si>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</si>
  <si>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</si>
  <si>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</si>
  <si>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</si>
  <si>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</si>
  <si>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</si>
  <si>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</si>
  <si>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</si>
  <si>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</si>
  <si>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</si>
  <si>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</si>
  <si>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</si>
  <si>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</si>
  <si>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</si>
  <si>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</si>
  <si>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</si>
  <si>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</si>
  <si>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</si>
  <si>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</si>
  <si>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</si>
  <si>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</si>
  <si>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</si>
  <si>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</si>
  <si>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</si>
  <si>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</si>
  <si>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</si>
  <si>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</si>
  <si>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</si>
  <si>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</si>
  <si>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</si>
  <si>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</si>
  <si>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</si>
  <si>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</si>
  <si>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</si>
  <si>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</si>
  <si>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</si>
  <si>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</si>
  <si>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</si>
  <si>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</si>
  <si>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</si>
  <si>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</si>
  <si>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</si>
  <si>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</si>
  <si>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</si>
  <si>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</si>
  <si>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</si>
  <si>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</si>
  <si>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</si>
  <si>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</si>
  <si>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</si>
  <si>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</si>
  <si>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</si>
  <si>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</si>
  <si>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</si>
  <si>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</si>
  <si>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</si>
  <si>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</si>
  <si>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</si>
  <si>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</si>
  <si>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</si>
  <si>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</si>
  <si>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</si>
  <si>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</si>
  <si>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</si>
  <si>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</si>
  <si>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</si>
  <si>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</si>
  <si>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</si>
  <si>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</si>
  <si>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</si>
  <si>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</si>
  <si>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</si>
  <si>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</si>
  <si>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</si>
  <si>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</si>
  <si>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</si>
  <si>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</si>
  <si>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</si>
  <si>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</si>
  <si>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</si>
  <si>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</si>
  <si>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</si>
  <si>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</si>
  <si>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</si>
  <si>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</si>
  <si>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</si>
  <si>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</si>
  <si>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</si>
  <si>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</si>
  <si>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</si>
  <si>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</si>
  <si>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</si>
  <si>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</si>
  <si>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</si>
  <si>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</si>
  <si>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</si>
  <si>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</si>
  <si>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</si>
  <si>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</si>
  <si>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</si>
  <si>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</si>
  <si>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</si>
  <si>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</si>
  <si>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</si>
  <si>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</si>
  <si>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</si>
  <si>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</si>
  <si>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</si>
  <si>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</si>
  <si>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</si>
  <si>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</si>
  <si>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</si>
  <si>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</si>
  <si>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</si>
  <si>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</si>
  <si>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</si>
  <si>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</si>
  <si>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</si>
  <si>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</si>
  <si>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</si>
  <si>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</si>
  <si>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</si>
  <si>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</si>
  <si>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</si>
  <si>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</si>
  <si>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</si>
  <si>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</si>
  <si>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</si>
  <si>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</si>
  <si>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</si>
  <si>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</si>
  <si>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</si>
  <si>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</si>
  <si>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</si>
  <si>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</si>
  <si>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</si>
  <si>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</si>
  <si>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</si>
  <si>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</si>
  <si>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</si>
  <si>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</si>
  <si>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</si>
  <si>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</si>
  <si>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</si>
  <si>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</si>
  <si>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</si>
  <si>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</si>
  <si>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</si>
  <si>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</si>
  <si>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</si>
  <si>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</si>
  <si>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</si>
  <si>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</si>
  <si>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</si>
  <si>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</si>
  <si>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</si>
  <si>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</si>
  <si>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</si>
  <si>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</si>
  <si>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</si>
  <si>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</si>
  <si>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</si>
  <si>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</si>
  <si>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</si>
  <si>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</si>
  <si>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</si>
  <si>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</si>
  <si>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</si>
  <si>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</si>
  <si>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</si>
  <si>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</si>
  <si>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</si>
  <si>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</si>
  <si>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</si>
  <si>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</si>
  <si>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</si>
  <si>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</si>
  <si>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</si>
  <si>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</si>
  <si>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</si>
  <si>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</si>
  <si>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</si>
  <si>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</si>
  <si>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</si>
  <si>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</si>
  <si>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</si>
  <si>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</si>
  <si>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</si>
  <si>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</si>
  <si>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</si>
  <si>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</si>
  <si>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</si>
  <si>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</si>
  <si>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</si>
  <si>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</si>
  <si>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</si>
  <si>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</si>
  <si>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</si>
  <si>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</si>
  <si>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</si>
  <si>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</si>
  <si>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</si>
  <si>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</si>
  <si>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</si>
  <si>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</si>
  <si>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</si>
  <si>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</si>
  <si>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</si>
  <si>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</si>
  <si>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</si>
  <si>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</si>
  <si>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</si>
  <si>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</si>
  <si>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</si>
  <si>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</si>
  <si>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</si>
  <si>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</si>
  <si>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</si>
  <si>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</si>
  <si>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</si>
  <si>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</si>
  <si>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</si>
  <si>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</si>
  <si>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</si>
  <si>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</si>
  <si>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</si>
  <si>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</si>
  <si>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</si>
  <si>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</si>
  <si>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</si>
  <si>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</si>
  <si>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</si>
  <si>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</si>
  <si>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</si>
  <si>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</si>
  <si>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</si>
  <si>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</si>
  <si>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</si>
  <si>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</si>
  <si>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</si>
  <si>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</si>
  <si>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</si>
  <si>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</si>
  <si>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</si>
  <si>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</si>
  <si>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</si>
  <si>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</si>
  <si>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</si>
  <si>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</si>
  <si>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</si>
  <si>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</si>
  <si>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</si>
  <si>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</si>
  <si>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</si>
  <si>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</si>
  <si>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</si>
  <si>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</si>
  <si>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</si>
  <si>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</si>
  <si>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</si>
  <si>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</si>
  <si>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</si>
  <si>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</si>
  <si>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</si>
  <si>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</si>
  <si>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</si>
  <si>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</si>
  <si>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</si>
  <si>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</si>
  <si>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</si>
  <si>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</si>
  <si>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</si>
  <si>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</si>
  <si>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</si>
  <si>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</si>
  <si>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</si>
  <si>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</si>
  <si>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</si>
  <si>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</si>
  <si>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</si>
  <si>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</si>
  <si>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</si>
  <si>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</si>
  <si>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</si>
  <si>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</si>
  <si>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</si>
  <si>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</si>
  <si>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</si>
  <si>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</si>
  <si>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</si>
  <si>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</si>
  <si>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</si>
  <si>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</si>
  <si>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</si>
  <si>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</si>
  <si>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</si>
  <si>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</si>
  <si>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</si>
  <si>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</si>
  <si>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</si>
  <si>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</si>
  <si>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</si>
  <si>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</si>
  <si>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</si>
  <si>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</si>
  <si>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</si>
  <si>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</si>
  <si>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</si>
  <si>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</si>
  <si>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</si>
  <si>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</si>
  <si>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</si>
  <si>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</si>
  <si>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</si>
  <si>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</si>
  <si>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</si>
  <si>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</si>
  <si>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</si>
  <si>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</si>
  <si>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</si>
  <si>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</si>
  <si>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</si>
  <si>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</si>
  <si>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</si>
  <si>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</si>
  <si>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</si>
  <si>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</si>
  <si>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</si>
  <si>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</si>
  <si>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</si>
  <si>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</si>
  <si>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</si>
  <si>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</si>
  <si>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</si>
  <si>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</si>
  <si>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</si>
  <si>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</si>
  <si>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</si>
  <si>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</si>
  <si>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</si>
  <si>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</si>
  <si>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</si>
  <si>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</si>
  <si>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</si>
  <si>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</si>
  <si>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</si>
  <si>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</si>
  <si>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</si>
  <si>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</si>
  <si>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</si>
  <si>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</si>
  <si>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</si>
  <si>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</si>
  <si>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</si>
  <si>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</si>
  <si>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</si>
  <si>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</si>
  <si>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</si>
  <si>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</si>
  <si>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</si>
  <si>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</si>
  <si>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</si>
  <si>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</si>
  <si>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</si>
  <si>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</si>
  <si>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</si>
  <si>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</si>
  <si>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</si>
  <si>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</si>
  <si>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</si>
  <si>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</si>
  <si>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</si>
  <si>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</si>
  <si>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</si>
  <si>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</si>
  <si>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</si>
  <si>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</si>
  <si>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</si>
  <si>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</si>
  <si>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</si>
  <si>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</si>
  <si>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</si>
  <si>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</si>
  <si>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</si>
  <si>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</si>
  <si>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</si>
  <si>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</si>
  <si>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</si>
  <si>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</si>
  <si>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</si>
  <si>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</si>
  <si>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</si>
  <si>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</si>
  <si>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</si>
  <si>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</si>
  <si>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</si>
  <si>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</si>
  <si>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</si>
  <si>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</si>
  <si>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</si>
  <si>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</si>
  <si>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</si>
  <si>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</si>
  <si>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</si>
  <si>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</si>
  <si>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</si>
  <si>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</si>
  <si>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</si>
  <si>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</si>
  <si>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</si>
  <si>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</si>
  <si>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</si>
  <si>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</si>
  <si>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</si>
  <si>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</si>
  <si>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</si>
  <si>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</si>
  <si>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</si>
  <si>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</si>
  <si>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</si>
  <si>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</si>
  <si>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</si>
  <si>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</si>
  <si>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</si>
  <si>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</si>
  <si>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</si>
  <si>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</si>
  <si>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</si>
  <si>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</si>
  <si>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</si>
  <si>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</si>
  <si>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</si>
  <si>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</si>
  <si>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</si>
  <si>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</si>
  <si>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</si>
  <si>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</si>
  <si>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</si>
  <si>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</si>
  <si>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</si>
  <si>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</si>
  <si>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</si>
  <si>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</si>
  <si>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</si>
  <si>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</si>
  <si>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</si>
  <si>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</si>
  <si>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</si>
  <si>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</si>
  <si>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</si>
  <si>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</si>
  <si>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</si>
  <si>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</si>
  <si>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</si>
  <si>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</si>
  <si>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</si>
  <si>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</si>
  <si>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</si>
  <si>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</si>
  <si>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</si>
  <si>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</si>
  <si>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</si>
  <si>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</si>
  <si>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</si>
  <si>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</si>
  <si>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</si>
  <si>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</si>
  <si>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</si>
  <si>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</si>
  <si>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</si>
  <si>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</si>
  <si>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</si>
  <si>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</si>
  <si>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</si>
  <si>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</si>
  <si>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</si>
  <si>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</si>
  <si>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</si>
  <si>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</si>
  <si>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</si>
  <si>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</si>
  <si>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</si>
  <si>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</si>
  <si>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</si>
  <si>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</si>
  <si>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</si>
  <si>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</si>
  <si>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</si>
  <si>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</si>
  <si>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</si>
  <si>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</si>
  <si>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</si>
  <si>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</si>
  <si>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</si>
  <si>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</si>
  <si>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</si>
  <si>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</si>
  <si>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</si>
  <si>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</si>
  <si>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</si>
  <si>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</si>
  <si>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</si>
  <si>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</si>
  <si>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</si>
  <si>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</si>
  <si>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</si>
  <si>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</si>
  <si>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</si>
  <si>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</si>
  <si>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</si>
  <si>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</si>
  <si>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</si>
  <si>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</si>
  <si>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</si>
  <si>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</si>
  <si>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</si>
  <si>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</si>
  <si>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</si>
  <si>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</si>
  <si>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</si>
  <si>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</si>
  <si>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</si>
  <si>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</si>
  <si>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</si>
  <si>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</si>
  <si>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</si>
  <si>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</si>
  <si>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</si>
  <si>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</si>
  <si>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</si>
  <si>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</si>
  <si>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</si>
  <si>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</si>
  <si>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</si>
  <si>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</si>
  <si>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</si>
  <si>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</si>
  <si>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</si>
  <si>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</si>
  <si>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</si>
  <si>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</si>
  <si>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</si>
  <si>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</si>
  <si>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</si>
  <si>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</si>
  <si>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</si>
  <si>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</si>
  <si>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</si>
  <si>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</si>
  <si>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</si>
  <si>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</si>
  <si>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</si>
  <si>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</si>
  <si>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</si>
  <si>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</si>
  <si>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</si>
  <si>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</si>
  <si>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</si>
  <si>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</si>
  <si>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</si>
  <si>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</si>
  <si>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</si>
  <si>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</si>
  <si>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</si>
  <si>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</si>
  <si>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</si>
  <si>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</si>
  <si>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</si>
  <si>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</si>
  <si>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</si>
  <si>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</si>
  <si>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</si>
  <si>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</si>
  <si>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</si>
  <si>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</si>
  <si>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</si>
  <si>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</si>
  <si>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</si>
  <si>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</si>
  <si>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</si>
  <si>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</si>
  <si>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</si>
  <si>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</si>
  <si>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</si>
  <si>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</si>
  <si>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</si>
  <si>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</si>
  <si>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</si>
  <si>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</si>
  <si>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</si>
  <si>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</si>
  <si>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</si>
  <si>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</si>
  <si>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</si>
  <si>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</si>
  <si>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</si>
  <si>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</si>
  <si>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</si>
  <si>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</si>
  <si>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</si>
  <si>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</si>
  <si>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</si>
  <si>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</si>
  <si>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</si>
  <si>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</si>
  <si>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</si>
  <si>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</si>
  <si>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</si>
  <si>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</si>
  <si>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</si>
  <si>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</si>
  <si>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</si>
  <si>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</si>
  <si>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</si>
  <si>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</si>
  <si>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</si>
  <si>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</si>
  <si>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</si>
  <si>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</si>
  <si>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</si>
  <si>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</si>
  <si>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</si>
  <si>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</si>
  <si>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</si>
  <si>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</si>
  <si>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</si>
  <si>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</si>
  <si>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</si>
  <si>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</si>
  <si>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</si>
  <si>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</si>
  <si>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</si>
  <si>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</si>
  <si>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</si>
  <si>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</si>
  <si>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</si>
  <si>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</si>
  <si>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</si>
  <si>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</si>
  <si>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</si>
  <si>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</si>
  <si>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</si>
  <si>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</si>
  <si>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</si>
  <si>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</si>
  <si>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</si>
  <si>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</si>
  <si>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</si>
  <si>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</si>
  <si>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</si>
  <si>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</si>
  <si>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</si>
  <si>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</si>
  <si>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</si>
  <si>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</si>
  <si>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</si>
  <si>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</si>
  <si>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</si>
  <si>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</si>
  <si>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</si>
  <si>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</si>
  <si>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</si>
  <si>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</si>
  <si>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</si>
  <si>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</si>
  <si>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</si>
  <si>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</si>
  <si>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</si>
  <si>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</si>
  <si>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</si>
  <si>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</si>
  <si>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</si>
  <si>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</si>
  <si>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</si>
  <si>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</si>
  <si>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</si>
  <si>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</si>
  <si>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</si>
  <si>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</si>
  <si>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</si>
  <si>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</si>
  <si>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</si>
  <si>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</si>
  <si>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</si>
  <si>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</si>
  <si>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</si>
  <si>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</si>
  <si>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</si>
  <si>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</si>
  <si>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</si>
  <si>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</si>
  <si>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</si>
  <si>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</si>
  <si>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</si>
  <si>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</si>
  <si>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</si>
  <si>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</si>
  <si>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</si>
  <si>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</si>
  <si>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</si>
  <si>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</si>
  <si>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</si>
  <si>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</si>
  <si>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</si>
  <si>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</si>
  <si>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</si>
  <si>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</si>
  <si>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</si>
  <si>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</si>
  <si>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</si>
  <si>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</si>
  <si>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</si>
  <si>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</si>
  <si>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</si>
  <si>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</si>
  <si>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</si>
  <si>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</si>
  <si>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</si>
  <si>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</si>
  <si>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</si>
  <si>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</si>
  <si>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</si>
  <si>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</si>
  <si>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</si>
  <si>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</si>
  <si>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</si>
  <si>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</si>
  <si>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</si>
  <si>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</si>
  <si>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</si>
  <si>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</si>
  <si>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</si>
  <si>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</si>
  <si>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</si>
  <si>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</si>
  <si>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</si>
  <si>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</si>
  <si>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</si>
  <si>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</si>
  <si>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</si>
  <si>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</si>
  <si>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</si>
  <si>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</si>
  <si>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</si>
  <si>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</si>
  <si>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</si>
  <si>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</si>
  <si>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</si>
  <si>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</si>
  <si>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</si>
  <si>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</si>
  <si>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</si>
  <si>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</si>
  <si>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</si>
  <si>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</si>
  <si>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</si>
  <si>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</si>
  <si>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</si>
  <si>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</si>
  <si>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</si>
  <si>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</si>
  <si>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</si>
  <si>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</si>
  <si>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</si>
  <si>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</si>
  <si>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</si>
  <si>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</si>
  <si>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</si>
  <si>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</si>
  <si>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</si>
  <si>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</si>
  <si>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</si>
  <si>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</si>
  <si>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</si>
  <si>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</si>
  <si>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</si>
  <si>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</si>
  <si>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</si>
  <si>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</si>
  <si>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</si>
  <si>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</si>
  <si>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</si>
  <si>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</si>
  <si>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</si>
  <si>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</si>
  <si>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</si>
  <si>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</si>
  <si>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</si>
  <si>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</si>
  <si>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</si>
  <si>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</si>
  <si>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</si>
  <si>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</si>
  <si>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</si>
  <si>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</si>
  <si>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</si>
  <si>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</si>
  <si>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</si>
  <si>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</si>
  <si>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</si>
  <si>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</si>
  <si>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</si>
  <si>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</si>
  <si>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</si>
  <si>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</si>
  <si>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</si>
  <si>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</si>
  <si>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</si>
  <si>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</si>
  <si>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</si>
  <si>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</si>
  <si>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</si>
  <si>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</si>
  <si>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</si>
  <si>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</si>
  <si>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</si>
  <si>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</si>
  <si>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</si>
  <si>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</si>
  <si>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</si>
  <si>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</si>
  <si>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</si>
  <si>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</si>
  <si>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</si>
  <si>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</si>
  <si>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</si>
  <si>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</si>
  <si>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</si>
  <si>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</si>
  <si>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</si>
  <si>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</si>
  <si>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</si>
  <si>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</si>
  <si>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</si>
  <si>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</si>
  <si>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</si>
  <si>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</si>
  <si>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</si>
  <si>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</si>
  <si>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</si>
  <si>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</si>
  <si>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</si>
  <si>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</si>
  <si>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</si>
  <si>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</si>
  <si>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</si>
  <si>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</si>
  <si>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</si>
  <si>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</si>
  <si>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</si>
  <si>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</si>
  <si>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</si>
  <si>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</si>
  <si>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</si>
  <si>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</si>
  <si>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</si>
  <si>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</si>
  <si>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</si>
  <si>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</si>
  <si>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</si>
  <si>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</si>
  <si>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</si>
  <si>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</si>
  <si>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</si>
  <si>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</si>
  <si>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</si>
  <si>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</si>
  <si>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</si>
  <si>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</si>
  <si>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</si>
  <si>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</si>
  <si>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</si>
  <si>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</si>
  <si>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</si>
  <si>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</si>
  <si>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</si>
  <si>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</si>
  <si>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</si>
  <si>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</si>
  <si>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</si>
  <si>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</si>
  <si>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</si>
  <si>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</si>
  <si>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</si>
  <si>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</si>
  <si>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</si>
  <si>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</si>
  <si>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</si>
  <si>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</si>
  <si>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</si>
  <si>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</si>
  <si>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</si>
  <si>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</si>
  <si>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</si>
  <si>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</si>
  <si>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</si>
  <si>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</si>
  <si>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</si>
  <si>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</si>
  <si>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</si>
  <si>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</si>
  <si>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</si>
  <si>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</si>
  <si>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</si>
  <si>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</si>
  <si>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</si>
  <si>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</si>
  <si>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</si>
  <si>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</si>
  <si>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</si>
  <si>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</si>
  <si>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</si>
  <si>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</si>
  <si>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</si>
  <si>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</si>
  <si>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</si>
  <si>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</si>
  <si>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</si>
  <si>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</si>
  <si>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</si>
  <si>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</si>
  <si>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</si>
  <si>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</si>
  <si>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</si>
  <si>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</si>
  <si>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</si>
  <si>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</si>
  <si>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</si>
  <si>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</si>
  <si>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</si>
  <si>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</si>
  <si>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</si>
  <si>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</si>
  <si>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</si>
  <si>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</si>
  <si>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</si>
  <si>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</si>
  <si>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</si>
  <si>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</si>
  <si>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</si>
  <si>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</si>
  <si>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</si>
  <si>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</si>
  <si>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</si>
  <si>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</si>
  <si>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</si>
  <si>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</si>
  <si>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</si>
  <si>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</si>
  <si>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</si>
  <si>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</si>
  <si>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</si>
  <si>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</si>
  <si>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</si>
  <si>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</si>
  <si>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</si>
  <si>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</si>
  <si>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</si>
  <si>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</si>
  <si>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</si>
  <si>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</si>
  <si>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</si>
  <si>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</si>
  <si>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</si>
  <si>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</si>
  <si>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</si>
  <si>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</si>
  <si>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</si>
  <si>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</si>
  <si>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</si>
  <si>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</si>
  <si>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</si>
  <si>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</si>
  <si>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</si>
  <si>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</si>
  <si>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</si>
  <si>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</si>
  <si>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</si>
  <si>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</si>
  <si>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</si>
  <si>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</si>
  <si>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</si>
  <si>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</si>
  <si>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</si>
  <si>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</si>
  <si>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</si>
  <si>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</si>
  <si>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</si>
  <si>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</si>
  <si>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</si>
  <si>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</si>
  <si>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</si>
  <si>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</si>
  <si>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</si>
  <si>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</si>
  <si>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</si>
  <si>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</si>
  <si>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</si>
  <si>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</si>
  <si>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</si>
  <si>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</si>
  <si>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</si>
  <si>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</si>
  <si>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</si>
  <si>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</si>
  <si>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</si>
  <si>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</si>
  <si>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</si>
  <si>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</si>
  <si>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</si>
  <si>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</si>
  <si>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</si>
  <si>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</si>
  <si>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</si>
  <si>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</si>
  <si>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</si>
  <si>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</si>
  <si>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</si>
  <si>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</si>
  <si>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</si>
  <si>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</si>
  <si>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</si>
  <si>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</si>
  <si>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</si>
  <si>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</si>
  <si>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</si>
  <si>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</si>
  <si>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</si>
  <si>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</si>
  <si>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</si>
  <si>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</si>
  <si>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</si>
  <si>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</si>
  <si>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</si>
  <si>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</si>
  <si>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</si>
  <si>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</si>
  <si>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</si>
  <si>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</si>
  <si>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</si>
  <si>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</si>
  <si>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</si>
  <si>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</si>
  <si>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</si>
  <si>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</si>
  <si>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</si>
  <si>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</si>
  <si>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</si>
  <si>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</si>
  <si>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</si>
  <si>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</si>
  <si>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</si>
  <si>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</si>
  <si>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</si>
  <si>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</si>
  <si>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</si>
  <si>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</si>
  <si>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</si>
  <si>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</si>
  <si>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</si>
  <si>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</si>
  <si>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</si>
  <si>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</si>
  <si>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</si>
  <si>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</si>
  <si>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</si>
  <si>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</si>
  <si>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</si>
  <si>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</si>
  <si>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</si>
  <si>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</si>
  <si>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</si>
  <si>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</si>
  <si>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</si>
  <si>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</si>
  <si>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</si>
  <si>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</si>
  <si>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</si>
  <si>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</si>
  <si>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</si>
  <si>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</si>
  <si>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</si>
  <si>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</si>
  <si>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</si>
  <si>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</si>
  <si>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</si>
  <si>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</si>
  <si>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</si>
  <si>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</si>
  <si>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</si>
  <si>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</si>
  <si>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</si>
  <si>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</si>
  <si>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</si>
  <si>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</si>
  <si>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</si>
  <si>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</si>
  <si>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</si>
  <si>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</si>
  <si>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</si>
  <si>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</si>
  <si>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</si>
  <si>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</si>
  <si>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</si>
  <si>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</si>
  <si>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</si>
  <si>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</si>
  <si>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</si>
  <si>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</si>
  <si>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</si>
  <si>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</si>
  <si>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</si>
  <si>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</si>
  <si>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</si>
  <si>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</si>
  <si>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</si>
  <si>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</si>
  <si>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</si>
  <si>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</si>
  <si>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</si>
  <si>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</si>
  <si>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</si>
  <si>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</si>
  <si>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</si>
  <si>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</si>
  <si>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</si>
  <si>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</si>
  <si>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</si>
  <si>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</si>
  <si>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</si>
  <si>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</si>
  <si>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</si>
  <si>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</si>
  <si>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</si>
  <si>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</si>
  <si>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</si>
  <si>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</si>
  <si>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</si>
  <si>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</si>
  <si>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</si>
  <si>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</si>
  <si>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</si>
  <si>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</si>
  <si>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</si>
  <si>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</si>
  <si>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</si>
  <si>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</si>
  <si>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</si>
  <si>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</si>
  <si>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</si>
  <si>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</si>
  <si>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</si>
  <si>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</si>
  <si>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</si>
  <si>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</si>
  <si>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</si>
  <si>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</si>
  <si>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</si>
  <si>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</si>
  <si>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</si>
  <si>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</si>
  <si>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</si>
  <si>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</si>
  <si>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</si>
  <si>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</si>
  <si>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</si>
  <si>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</si>
  <si>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</si>
  <si>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</si>
  <si>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</si>
  <si>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</si>
  <si>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</si>
  <si>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</si>
  <si>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</si>
  <si>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</si>
  <si>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</si>
  <si>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</si>
  <si>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</si>
  <si>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</si>
  <si>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</si>
  <si>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</si>
  <si>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</si>
  <si>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</si>
  <si>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</si>
  <si>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</si>
  <si>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</si>
  <si>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</si>
  <si>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</si>
  <si>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</si>
  <si>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</si>
  <si>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</si>
  <si>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</si>
  <si>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</si>
  <si>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</si>
  <si>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</si>
  <si>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</si>
  <si>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</si>
  <si>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</si>
  <si>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</si>
  <si>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</si>
  <si>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</si>
  <si>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</si>
  <si>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</si>
  <si>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</si>
  <si>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</si>
  <si>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</si>
  <si>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</si>
  <si>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</si>
  <si>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</si>
  <si>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</si>
  <si>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</si>
  <si>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</si>
  <si>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</si>
  <si>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</si>
  <si>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</si>
  <si>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</si>
  <si>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</si>
  <si>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</si>
  <si>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</si>
  <si>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</si>
  <si>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</si>
  <si>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</si>
  <si>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</si>
  <si>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</si>
  <si>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</si>
  <si>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</si>
  <si>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</si>
  <si>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</si>
  <si>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</si>
  <si>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</si>
  <si>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</si>
  <si>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</si>
  <si>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</si>
  <si>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</si>
  <si>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</si>
  <si>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</si>
  <si>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</si>
  <si>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</si>
  <si>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</si>
  <si>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</si>
  <si>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</si>
  <si>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</si>
  <si>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</si>
  <si>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</si>
  <si>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</si>
  <si>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</si>
  <si>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</si>
  <si>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</si>
  <si>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</si>
  <si>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</si>
  <si>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</si>
  <si>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</si>
  <si>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</si>
  <si>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</si>
  <si>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</si>
  <si>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</si>
  <si>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</si>
  <si>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</si>
  <si>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</si>
  <si>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</si>
  <si>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</si>
  <si>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</si>
  <si>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</si>
  <si>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</si>
  <si>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</si>
  <si>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</si>
  <si>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</si>
  <si>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</si>
  <si>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</si>
  <si>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</si>
  <si>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</si>
  <si>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</si>
  <si>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</si>
  <si>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</si>
  <si>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</si>
  <si>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</si>
  <si>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</si>
  <si>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</si>
  <si>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</si>
  <si>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</si>
  <si>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</si>
  <si>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</si>
  <si>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</si>
  <si>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</si>
  <si>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</si>
  <si>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</si>
  <si>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</si>
  <si>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</si>
  <si>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</si>
  <si>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</si>
  <si>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</si>
  <si>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</si>
  <si>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</si>
  <si>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</si>
  <si>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</si>
  <si>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</si>
  <si>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</si>
  <si>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</si>
  <si>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</si>
  <si>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</si>
  <si>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</si>
  <si>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</si>
  <si>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</si>
  <si>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</si>
  <si>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</si>
  <si>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</si>
  <si>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</si>
  <si>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</si>
  <si>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</si>
  <si>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</si>
  <si>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</si>
  <si>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</si>
  <si>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</si>
  <si>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</si>
  <si>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</si>
  <si>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</si>
  <si>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</si>
  <si>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</si>
  <si>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</si>
  <si>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</si>
  <si>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</si>
  <si>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</si>
  <si>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</si>
  <si>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</si>
  <si>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</si>
  <si>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</si>
  <si>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</si>
  <si>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</si>
  <si>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</si>
  <si>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</si>
  <si>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</si>
  <si>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</si>
  <si>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</si>
  <si>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</si>
  <si>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</si>
  <si>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</si>
  <si>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</si>
  <si>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</si>
  <si>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</si>
  <si>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</si>
  <si>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</si>
  <si>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</si>
  <si>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</si>
  <si>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</si>
  <si>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</si>
  <si>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</si>
  <si>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</si>
  <si>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</si>
  <si>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</si>
  <si>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</si>
  <si>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</si>
  <si>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</si>
  <si>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</si>
  <si>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</si>
  <si>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</si>
  <si>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</si>
  <si>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</si>
  <si>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</si>
  <si>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</si>
  <si>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</si>
  <si>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</si>
  <si>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</si>
  <si>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</si>
  <si>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</si>
  <si>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</si>
  <si>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</si>
  <si>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</si>
  <si>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</si>
  <si>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</si>
  <si>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</si>
  <si>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</si>
  <si>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</si>
  <si>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</si>
  <si>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</si>
  <si>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</si>
  <si>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</si>
  <si>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</si>
  <si>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</si>
  <si>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</si>
  <si>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</si>
  <si>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</si>
  <si>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</si>
  <si>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</si>
  <si>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</si>
  <si>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</si>
  <si>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</si>
  <si>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</si>
  <si>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</si>
  <si>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</si>
  <si>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</si>
  <si>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</si>
  <si>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</si>
  <si>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</si>
  <si>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</si>
  <si>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</si>
  <si>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</si>
  <si>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</si>
  <si>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</si>
  <si>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</si>
  <si>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</si>
  <si>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</si>
  <si>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</si>
  <si>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</si>
  <si>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</si>
  <si>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</si>
  <si>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</si>
  <si>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</si>
  <si>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</si>
  <si>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</si>
  <si>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</si>
  <si>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</si>
  <si>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</si>
  <si>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</si>
  <si>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</si>
  <si>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</si>
  <si>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</si>
  <si>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</si>
  <si>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</si>
  <si>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</si>
  <si>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</si>
  <si>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</si>
  <si>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</si>
  <si>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</si>
  <si>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</si>
  <si>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</si>
  <si>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</si>
  <si>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</si>
  <si>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</si>
  <si>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</si>
  <si>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</si>
  <si>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</si>
  <si>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</si>
  <si>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</si>
  <si>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</si>
  <si>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</si>
  <si>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</si>
  <si>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</si>
  <si>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</si>
  <si>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</si>
  <si>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</si>
  <si>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</si>
  <si>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</si>
  <si>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</si>
  <si>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</si>
  <si>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</si>
  <si>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</si>
  <si>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</si>
  <si>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</si>
  <si>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</si>
  <si>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</si>
  <si>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</si>
  <si>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</si>
  <si>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</si>
  <si>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</si>
  <si>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</si>
  <si>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</si>
  <si>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</si>
  <si>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</si>
  <si>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</si>
  <si>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</si>
  <si>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</si>
  <si>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</si>
  <si>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</si>
  <si>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</si>
  <si>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</si>
  <si>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</si>
  <si>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</si>
  <si>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</si>
  <si>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</si>
  <si>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</si>
  <si>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</si>
  <si>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</si>
  <si>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</si>
  <si>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</si>
  <si>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</si>
  <si>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</si>
  <si>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</si>
  <si>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</si>
  <si>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</si>
  <si>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</si>
  <si>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</si>
  <si>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</si>
  <si>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</si>
  <si>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</si>
  <si>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</si>
  <si>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</si>
  <si>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</si>
  <si>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</si>
  <si>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</si>
  <si>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</si>
  <si>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</si>
  <si>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</si>
  <si>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</si>
  <si>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</si>
  <si>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</si>
  <si>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</si>
  <si>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</si>
  <si>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</si>
  <si>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</si>
  <si>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</si>
  <si>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</si>
  <si>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</si>
  <si>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</si>
  <si>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</si>
  <si>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</si>
  <si>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</si>
  <si>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</si>
  <si>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</si>
  <si>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</si>
  <si>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</si>
  <si>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</si>
  <si>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</si>
  <si>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</si>
  <si>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</si>
  <si>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</si>
  <si>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</si>
  <si>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</si>
  <si>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</si>
  <si>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</si>
  <si>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</si>
  <si>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</si>
  <si>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</si>
  <si>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</si>
  <si>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</si>
  <si>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</si>
  <si>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</si>
  <si>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</si>
  <si>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</si>
  <si>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</si>
  <si>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</si>
  <si>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</si>
  <si>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</si>
  <si>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</si>
  <si>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</si>
  <si>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</si>
  <si>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</si>
  <si>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</si>
  <si>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</si>
  <si>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</si>
  <si>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</si>
  <si>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</si>
  <si>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</si>
  <si>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</si>
  <si>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</si>
  <si>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</si>
  <si>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</si>
  <si>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</si>
  <si>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</si>
  <si>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</si>
  <si>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</si>
  <si>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</si>
  <si>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</si>
  <si>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</si>
  <si>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</si>
  <si>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</si>
  <si>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</si>
  <si>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</si>
  <si>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</si>
  <si>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</si>
  <si>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</si>
  <si>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</si>
  <si>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</si>
  <si>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</si>
  <si>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</si>
  <si>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</si>
  <si>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</si>
  <si>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</si>
  <si>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</si>
  <si>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</si>
  <si>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</si>
  <si>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</si>
  <si>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</si>
  <si>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</si>
  <si>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</si>
  <si>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</si>
  <si>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</si>
  <si>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</si>
  <si>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</si>
  <si>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</si>
  <si>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</si>
  <si>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</si>
  <si>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</si>
  <si>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</si>
  <si>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</si>
  <si>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</si>
  <si>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</si>
  <si>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</si>
  <si>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</si>
  <si>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</si>
  <si>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</si>
  <si>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</si>
  <si>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</si>
  <si>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</si>
  <si>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</si>
  <si>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</si>
  <si>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</si>
  <si>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</si>
  <si>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</si>
  <si>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</si>
  <si>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</si>
  <si>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</si>
  <si>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</si>
  <si>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</si>
  <si>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</si>
  <si>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</si>
  <si>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</si>
  <si>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</si>
  <si>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</si>
  <si>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</si>
  <si>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</si>
  <si>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</si>
  <si>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</si>
  <si>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</si>
  <si>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</si>
  <si>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</si>
  <si>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</si>
  <si>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</si>
  <si>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</si>
  <si>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</si>
  <si>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</si>
  <si>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</si>
  <si>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</si>
  <si>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</si>
  <si>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</si>
  <si>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</si>
  <si>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</si>
  <si>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</si>
  <si>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</si>
  <si>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</si>
  <si>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</si>
  <si>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</si>
  <si>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</si>
  <si>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</si>
  <si>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</si>
  <si>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</si>
  <si>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</si>
  <si>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</si>
  <si>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</si>
  <si>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</si>
  <si>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</si>
  <si>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</si>
  <si>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</si>
  <si>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</si>
  <si>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</si>
  <si>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</si>
  <si>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</si>
  <si>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</si>
  <si>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</si>
  <si>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</si>
  <si>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</si>
  <si>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</si>
  <si>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</si>
  <si>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</si>
  <si>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</si>
  <si>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</si>
  <si>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</si>
  <si>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</si>
  <si>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</si>
  <si>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</si>
  <si>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</si>
  <si>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</si>
  <si>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</si>
  <si>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</si>
  <si>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</si>
  <si>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</si>
  <si>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</si>
  <si>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</si>
  <si>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</si>
  <si>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</si>
  <si>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</si>
  <si>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</si>
  <si>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</si>
  <si>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</si>
  <si>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</si>
  <si>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</si>
  <si>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</si>
  <si>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</si>
  <si>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</si>
  <si>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</si>
  <si>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</si>
  <si>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</si>
  <si>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</si>
  <si>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</si>
  <si>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</si>
  <si>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</si>
  <si>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</si>
  <si>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</si>
  <si>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</si>
  <si>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</si>
  <si>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</si>
  <si>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</si>
  <si>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</si>
  <si>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</si>
  <si>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</si>
  <si>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</si>
  <si>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</si>
  <si>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</si>
  <si>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</si>
  <si>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</si>
  <si>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</si>
  <si>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</si>
  <si>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</si>
  <si>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</si>
  <si>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</si>
  <si>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</si>
  <si>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</si>
  <si>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</si>
  <si>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</si>
  <si>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</si>
  <si>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</si>
  <si>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</si>
  <si>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</si>
  <si>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</si>
  <si>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</si>
  <si>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</si>
  <si>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</si>
  <si>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</si>
  <si>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</si>
  <si>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</si>
  <si>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</si>
  <si>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</si>
  <si>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</si>
  <si>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</si>
  <si>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</si>
  <si>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</si>
  <si>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</si>
  <si>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</si>
  <si>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</si>
  <si>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</si>
  <si>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</si>
  <si>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</si>
  <si>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</si>
  <si>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</si>
  <si>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</si>
  <si>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</si>
  <si>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</si>
  <si>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</si>
  <si>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</si>
  <si>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</si>
  <si>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</si>
  <si>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</si>
  <si>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</si>
  <si>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</si>
  <si>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</si>
  <si>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</si>
  <si>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</si>
  <si>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</si>
  <si>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</si>
  <si>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</si>
  <si>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</si>
  <si>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</si>
  <si>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</si>
  <si>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</si>
  <si>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</si>
  <si>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</si>
  <si>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</si>
  <si>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</si>
  <si>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</si>
  <si>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</si>
  <si>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</si>
  <si>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</si>
  <si>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</si>
  <si>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</si>
  <si>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</si>
  <si>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</si>
  <si>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</si>
  <si>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</si>
  <si>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</si>
  <si>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</si>
  <si>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</si>
  <si>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</si>
  <si>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</si>
  <si>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</si>
  <si>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</si>
  <si>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</si>
  <si>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</si>
  <si>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</si>
  <si>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</si>
  <si>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</si>
  <si>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</si>
  <si>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</si>
  <si>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</si>
  <si>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</si>
  <si>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</si>
  <si>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</si>
  <si>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</si>
  <si>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</si>
  <si>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</si>
  <si>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</si>
  <si>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</si>
  <si>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</si>
  <si>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</si>
  <si>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</si>
  <si>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</si>
  <si>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</si>
  <si>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</si>
  <si>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</si>
  <si>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</si>
  <si>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</si>
  <si>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</si>
  <si>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</si>
  <si>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</si>
  <si>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</si>
  <si>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</si>
  <si>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</si>
  <si>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</si>
  <si>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</si>
  <si>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</si>
  <si>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</si>
  <si>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</si>
  <si>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</si>
  <si>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</si>
  <si>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</si>
  <si>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</si>
  <si>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</si>
  <si>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</si>
  <si>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</si>
  <si>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</si>
  <si>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</si>
  <si>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</si>
  <si>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</si>
  <si>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</si>
  <si>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</si>
  <si>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</si>
  <si>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</si>
  <si>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</si>
  <si>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</si>
  <si>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</si>
  <si>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</si>
  <si>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</si>
  <si>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</si>
  <si>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</si>
  <si>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</si>
  <si>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</si>
  <si>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</si>
  <si>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</si>
  <si>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</si>
  <si>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</si>
  <si>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</si>
  <si>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</si>
  <si>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</si>
  <si>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</si>
  <si>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</si>
  <si>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</si>
  <si>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</si>
  <si>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</si>
  <si>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</si>
  <si>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</si>
  <si>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</si>
  <si>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</si>
  <si>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</si>
  <si>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</si>
  <si>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</si>
  <si>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</si>
  <si>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</si>
  <si>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</si>
  <si>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</si>
  <si>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</si>
  <si>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</si>
  <si>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</si>
  <si>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</si>
  <si>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</si>
  <si>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</si>
  <si>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</si>
  <si>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</si>
  <si>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</si>
  <si>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</si>
  <si>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</si>
  <si>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</si>
  <si>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</si>
  <si>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</si>
  <si>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</si>
  <si>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</si>
  <si>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</si>
  <si>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</si>
  <si>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</si>
  <si>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</si>
  <si>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</si>
  <si>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</si>
  <si>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</si>
  <si>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</si>
  <si>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</si>
  <si>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</si>
  <si>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</si>
  <si>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</si>
  <si>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</si>
  <si>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</si>
  <si>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</si>
  <si>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</si>
  <si>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</si>
  <si>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</si>
  <si>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</si>
  <si>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</si>
  <si>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</si>
  <si>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</si>
  <si>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</si>
  <si>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</si>
  <si>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</si>
  <si>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</si>
  <si>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</si>
  <si>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</si>
  <si>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</si>
  <si>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</si>
  <si>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</si>
  <si>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</si>
  <si>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</si>
  <si>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</si>
  <si>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</si>
  <si>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</si>
  <si>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</si>
  <si>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</si>
  <si>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</si>
  <si>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</si>
  <si>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</si>
  <si>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</si>
  <si>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</si>
  <si>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</si>
  <si>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</si>
  <si>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</si>
  <si>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</si>
  <si>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</si>
  <si>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</si>
  <si>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</si>
  <si>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</si>
  <si>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</si>
  <si>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</si>
  <si>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</si>
  <si>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</si>
  <si>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</si>
  <si>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</si>
  <si>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</si>
  <si>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</si>
  <si>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</si>
  <si>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</si>
  <si>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</si>
  <si>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</si>
  <si>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</si>
  <si>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</si>
  <si>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</si>
  <si>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</si>
  <si>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</si>
  <si>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</si>
  <si>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</si>
  <si>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</si>
  <si>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</si>
  <si>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</si>
  <si>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</si>
  <si>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</si>
  <si>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</si>
  <si>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</si>
  <si>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</si>
  <si>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</si>
  <si>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</si>
  <si>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</si>
  <si>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</si>
  <si>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</si>
  <si>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</si>
  <si>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</si>
  <si>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</si>
  <si>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</si>
  <si>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</si>
  <si>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</si>
  <si>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</si>
  <si>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</si>
  <si>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</si>
  <si>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</si>
  <si>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</si>
  <si>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</si>
  <si>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</si>
  <si>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</si>
  <si>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</si>
  <si>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</si>
  <si>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</si>
  <si>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</si>
  <si>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</si>
  <si>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</si>
  <si>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</si>
  <si>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</si>
  <si>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</si>
  <si>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</si>
  <si>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</si>
  <si>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</si>
  <si>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</si>
  <si>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</si>
  <si>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</si>
  <si>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</si>
  <si>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</si>
  <si>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</si>
  <si>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</si>
  <si>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</si>
  <si>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</si>
  <si>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</si>
  <si>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</si>
  <si>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</si>
  <si>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</si>
  <si>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</si>
  <si>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</si>
  <si>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</si>
  <si>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</si>
  <si>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</si>
  <si>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</si>
  <si>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</si>
  <si>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</si>
  <si>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</si>
  <si>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</si>
  <si>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</si>
  <si>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</si>
  <si>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</si>
  <si>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</si>
  <si>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</si>
  <si>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</si>
  <si>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</si>
  <si>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</si>
  <si>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</si>
  <si>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</si>
  <si>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</si>
  <si>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</si>
  <si>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</si>
  <si>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</si>
  <si>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</si>
  <si>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</si>
  <si>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</si>
  <si>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</si>
  <si>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</si>
  <si>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</si>
  <si>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</si>
  <si>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</si>
  <si>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</si>
  <si>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</si>
  <si>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</si>
  <si>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</si>
  <si>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</si>
  <si>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</si>
  <si>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</si>
  <si>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</si>
  <si>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</si>
  <si>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</si>
  <si>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</si>
  <si>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</si>
  <si>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</si>
  <si>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</si>
  <si>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</si>
  <si>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</si>
  <si>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</si>
  <si>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</si>
  <si>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</si>
  <si>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</si>
  <si>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</si>
  <si>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</si>
  <si>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</si>
  <si>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</si>
  <si>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</si>
  <si>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</si>
  <si>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</si>
  <si>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</si>
  <si>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</si>
  <si>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</si>
  <si>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</si>
  <si>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</si>
  <si>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</si>
  <si>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</si>
  <si>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</si>
  <si>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</si>
  <si>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</si>
  <si>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</si>
  <si>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</si>
  <si>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</si>
  <si>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</si>
  <si>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</si>
  <si>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</si>
  <si>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</si>
  <si>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</si>
  <si>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</si>
  <si>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</si>
  <si>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</si>
  <si>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</si>
  <si>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</si>
  <si>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</si>
  <si>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</si>
  <si>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</si>
  <si>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</si>
  <si>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</si>
  <si>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</si>
  <si>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</si>
  <si>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</si>
  <si>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</si>
  <si>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</si>
  <si>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</si>
  <si>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</si>
  <si>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</si>
  <si>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</si>
  <si>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</si>
  <si>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</si>
  <si>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</si>
  <si>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</si>
  <si>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</si>
  <si>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</si>
  <si>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</si>
  <si>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</si>
  <si>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</si>
  <si>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</si>
  <si>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</si>
  <si>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</si>
  <si>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</si>
  <si>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</si>
  <si>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</si>
  <si>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</si>
  <si>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</si>
  <si>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</si>
  <si>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</si>
  <si>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</si>
  <si>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</si>
  <si>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</si>
  <si>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</si>
  <si>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</si>
  <si>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</si>
  <si>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</si>
  <si>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</si>
  <si>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</si>
  <si>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</si>
  <si>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</si>
  <si>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</si>
  <si>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</si>
  <si>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</si>
  <si>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</si>
  <si>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</si>
  <si>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</si>
  <si>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</si>
  <si>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</si>
  <si>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</si>
  <si>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</si>
  <si>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</si>
  <si>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</si>
  <si>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</si>
  <si>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</si>
  <si>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</si>
  <si>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</si>
  <si>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</si>
  <si>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</si>
  <si>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</si>
  <si>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</si>
  <si>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</si>
  <si>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</si>
  <si>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</si>
  <si>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</si>
  <si>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</si>
  <si>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</si>
  <si>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</si>
  <si>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</si>
  <si>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</si>
  <si>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</si>
  <si>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</si>
  <si>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</si>
  <si>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</si>
  <si>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</si>
  <si>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</si>
  <si>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</si>
  <si>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</si>
  <si>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</si>
  <si>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</si>
  <si>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</si>
  <si>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</si>
  <si>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</si>
  <si>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</si>
  <si>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</si>
  <si>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</si>
  <si>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</si>
  <si>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</si>
  <si>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</si>
  <si>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</si>
  <si>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</si>
  <si>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</si>
  <si>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</si>
  <si>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</si>
  <si>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</si>
  <si>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</si>
  <si>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</si>
  <si>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</si>
  <si>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</si>
  <si>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</si>
  <si>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</si>
  <si>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</si>
  <si>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</si>
  <si>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</si>
  <si>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</si>
  <si>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</si>
  <si>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</si>
  <si>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</si>
  <si>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</si>
  <si>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</si>
  <si>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</si>
  <si>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</si>
  <si>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</si>
  <si>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</si>
  <si>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</si>
  <si>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</si>
  <si>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</si>
  <si>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</si>
  <si>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</si>
  <si>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</si>
  <si>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</si>
  <si>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</si>
  <si>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</si>
  <si>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</si>
  <si>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</si>
  <si>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</si>
  <si>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</si>
  <si>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</si>
  <si>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</si>
  <si>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</si>
  <si>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</si>
  <si>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</si>
  <si>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</si>
  <si>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</si>
  <si>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</si>
  <si>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</si>
  <si>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</si>
  <si>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</si>
  <si>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</si>
  <si>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</si>
  <si>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</si>
  <si>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</si>
  <si>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</si>
  <si>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</si>
  <si>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</si>
  <si>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</si>
  <si>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</si>
  <si>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</si>
  <si>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</si>
  <si>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</si>
  <si>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</si>
  <si>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</si>
  <si>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</si>
  <si>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</si>
  <si>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</si>
  <si>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</si>
  <si>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</si>
  <si>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</si>
  <si>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</si>
  <si>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</si>
  <si>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</si>
  <si>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</si>
  <si>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</si>
  <si>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</si>
  <si>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</si>
  <si>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</si>
  <si>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</si>
  <si>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</si>
  <si>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</si>
  <si>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</si>
  <si>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</si>
  <si>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</si>
  <si>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</si>
  <si>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</si>
  <si>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</si>
  <si>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</si>
  <si>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</si>
  <si>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</si>
  <si>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</si>
  <si>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</si>
  <si>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</si>
  <si>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</si>
  <si>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</si>
  <si>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</si>
  <si>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</si>
  <si>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</si>
  <si>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</si>
  <si>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</si>
  <si>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</si>
  <si>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</si>
  <si>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</si>
  <si>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</si>
  <si>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</si>
  <si>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</si>
  <si>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</si>
  <si>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</si>
  <si>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</si>
  <si>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</si>
  <si>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</si>
  <si>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</si>
  <si>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</si>
  <si>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</si>
  <si>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</si>
  <si>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</si>
  <si>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</si>
  <si>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</si>
  <si>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</si>
  <si>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</si>
  <si>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</si>
  <si>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</si>
  <si>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</si>
  <si>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</si>
  <si>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</si>
  <si>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</si>
  <si>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</si>
  <si>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</si>
  <si>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</si>
  <si>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</si>
  <si>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</si>
  <si>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</si>
  <si>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</si>
  <si>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</si>
  <si>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</si>
  <si>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</si>
  <si>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</si>
  <si>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</si>
  <si>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</si>
  <si>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</si>
  <si>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</si>
  <si>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</si>
  <si>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</si>
  <si>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</si>
  <si>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</si>
  <si>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</si>
  <si>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</si>
  <si>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</si>
  <si>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</si>
  <si>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</si>
  <si>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</si>
  <si>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</si>
  <si>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</si>
  <si>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</si>
  <si>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</si>
  <si>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</si>
  <si>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</si>
  <si>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</si>
  <si>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</si>
  <si>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</si>
  <si>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</si>
  <si>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</si>
  <si>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</si>
  <si>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</si>
  <si>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</si>
  <si>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</si>
  <si>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</si>
  <si>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</si>
  <si>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</si>
  <si>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</si>
  <si>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</si>
  <si>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</si>
  <si>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</si>
  <si>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</si>
  <si>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</si>
  <si>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</si>
  <si>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</si>
  <si>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</si>
  <si>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</si>
  <si>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</si>
  <si>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</si>
  <si>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</si>
  <si>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</si>
  <si>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</si>
  <si>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</si>
  <si>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</si>
  <si>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</si>
  <si>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</si>
  <si>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</si>
  <si>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</si>
  <si>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</si>
  <si>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</si>
  <si>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</si>
  <si>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</si>
  <si>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</si>
  <si>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</si>
  <si>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</si>
  <si>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</si>
  <si>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</si>
  <si>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</si>
  <si>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</si>
  <si>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</si>
  <si>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</si>
  <si>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</si>
  <si>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</si>
  <si>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</si>
  <si>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</si>
  <si>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</si>
  <si>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</si>
  <si>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</si>
  <si>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</si>
  <si>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</si>
  <si>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</si>
  <si>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</si>
  <si>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</si>
  <si>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</si>
  <si>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</si>
  <si>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</si>
  <si>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</si>
  <si>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</si>
  <si>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</si>
  <si>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</si>
  <si>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</si>
  <si>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</si>
  <si>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</si>
  <si>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</si>
  <si>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</si>
  <si>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</si>
  <si>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</si>
  <si>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</si>
  <si>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</si>
  <si>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</si>
  <si>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</si>
  <si>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</si>
  <si>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</si>
  <si>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</si>
  <si>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</si>
  <si>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</si>
  <si>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</si>
  <si>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</si>
  <si>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</si>
  <si>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</si>
  <si>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</si>
  <si>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</si>
  <si>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</si>
  <si>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</si>
  <si>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</si>
  <si>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</si>
  <si>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</si>
  <si>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</si>
  <si>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</si>
  <si>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</si>
  <si>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</si>
  <si>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</si>
  <si>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</si>
  <si>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</si>
  <si>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</si>
  <si>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</si>
  <si>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</si>
  <si>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</si>
  <si>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</si>
  <si>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</si>
  <si>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</si>
  <si>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</si>
  <si>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</si>
  <si>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</si>
  <si>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</si>
  <si>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</si>
  <si>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</si>
  <si>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</si>
  <si>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</si>
  <si>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</si>
  <si>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</si>
  <si>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</si>
  <si>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</si>
  <si>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</si>
  <si>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</si>
  <si>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</si>
  <si>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</si>
  <si>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</si>
  <si>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</si>
  <si>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</si>
  <si>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</si>
  <si>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</si>
  <si>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</si>
  <si>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</si>
  <si>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</si>
  <si>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</si>
  <si>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</si>
  <si>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</si>
  <si>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</si>
  <si>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</si>
  <si>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</si>
  <si>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</si>
  <si>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</si>
  <si>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</si>
  <si>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</si>
  <si>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</si>
  <si>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</si>
  <si>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</si>
  <si>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</si>
  <si>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</si>
  <si>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</si>
  <si>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</si>
  <si>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</si>
  <si>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</si>
  <si>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</si>
  <si>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</si>
  <si>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</si>
  <si>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</si>
  <si>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</si>
  <si>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</si>
  <si>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</si>
  <si>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</si>
  <si>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</si>
  <si>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</si>
  <si>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</si>
  <si>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</si>
  <si>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</si>
  <si>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</si>
  <si>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</si>
  <si>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</si>
  <si>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</si>
  <si>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</si>
  <si>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</si>
  <si>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</si>
  <si>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</si>
  <si>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</si>
  <si>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</si>
  <si>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</si>
  <si>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</si>
  <si>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</si>
  <si>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</si>
  <si>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</si>
  <si>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</si>
  <si>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</si>
  <si>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</si>
  <si>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</si>
  <si>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</si>
  <si>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</si>
  <si>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</si>
  <si>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</si>
  <si>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</si>
  <si>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</si>
  <si>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</si>
  <si>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</si>
  <si>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</si>
  <si>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</si>
  <si>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</si>
  <si>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</si>
  <si>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</si>
  <si>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</si>
  <si>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</si>
  <si>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</si>
  <si>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</si>
  <si>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</si>
  <si>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</si>
  <si>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</si>
  <si>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</si>
  <si>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</si>
  <si>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</si>
  <si>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</si>
  <si>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</si>
  <si>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</si>
  <si>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</si>
  <si>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</si>
  <si>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</si>
  <si>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</si>
  <si>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</si>
  <si>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</si>
  <si>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</si>
  <si>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</si>
  <si>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</si>
  <si>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</si>
  <si>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</si>
  <si>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</si>
  <si>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</si>
  <si>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</si>
  <si>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</si>
  <si>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</si>
  <si>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</si>
  <si>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</si>
  <si>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</si>
  <si>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</si>
  <si>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</si>
  <si>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</si>
  <si>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</si>
  <si>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</si>
  <si>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</si>
  <si>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</si>
  <si>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</si>
  <si>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</si>
  <si>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</si>
  <si>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</si>
  <si>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</si>
  <si>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</si>
  <si>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</si>
  <si>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</si>
  <si>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</si>
  <si>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</si>
  <si>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</si>
  <si>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</si>
  <si>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</si>
  <si>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</si>
  <si>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</si>
  <si>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</si>
  <si>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</si>
  <si>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</si>
  <si>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</si>
  <si>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</si>
  <si>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</si>
  <si>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</si>
  <si>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</si>
  <si>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</si>
  <si>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</si>
  <si>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</si>
  <si>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</si>
  <si>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</si>
  <si>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</si>
  <si>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</si>
  <si>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</si>
  <si>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</si>
  <si>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</si>
  <si>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</si>
  <si>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</si>
  <si>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</si>
  <si>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</si>
  <si>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</si>
  <si>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</si>
  <si>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</si>
  <si>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</si>
  <si>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</si>
  <si>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</si>
  <si>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</si>
  <si>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</si>
  <si>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</si>
  <si>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</si>
  <si>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</si>
  <si>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</si>
  <si>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</si>
  <si>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</si>
  <si>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</si>
  <si>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</si>
  <si>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</si>
  <si>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</si>
  <si>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</si>
  <si>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</si>
  <si>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</si>
  <si>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</si>
  <si>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</si>
  <si>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</si>
  <si>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</si>
  <si>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</si>
  <si>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</si>
  <si>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</si>
  <si>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</si>
  <si>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</si>
  <si>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</si>
  <si>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</si>
  <si>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</si>
  <si>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</si>
  <si>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</si>
  <si>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</si>
  <si>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</si>
  <si>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</si>
  <si>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</si>
  <si>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</si>
  <si>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</si>
  <si>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</si>
  <si>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</si>
  <si>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</si>
  <si>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</si>
  <si>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</si>
  <si>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</si>
  <si>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</si>
  <si>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</si>
  <si>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</si>
  <si>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</si>
  <si>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</si>
  <si>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</si>
  <si>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</si>
  <si>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</si>
  <si>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</si>
  <si>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</si>
  <si>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</si>
  <si>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</si>
  <si>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</si>
  <si>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</si>
  <si>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</si>
  <si>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</si>
  <si>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</si>
  <si>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</si>
  <si>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</si>
  <si>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</si>
  <si>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</si>
  <si>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</si>
  <si>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</si>
  <si>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</si>
  <si>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</si>
  <si>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</si>
  <si>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</si>
  <si>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</si>
  <si>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</si>
  <si>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</si>
  <si>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</si>
  <si>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</si>
  <si>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</si>
  <si>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</si>
  <si>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</si>
  <si>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</si>
  <si>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</si>
  <si>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</si>
  <si>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</si>
  <si>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</si>
  <si>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</si>
  <si>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</si>
  <si>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</si>
  <si>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</si>
  <si>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</si>
  <si>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</si>
  <si>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</si>
  <si>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</si>
  <si>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</si>
  <si>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</si>
  <si>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</si>
  <si>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</si>
  <si>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</si>
  <si>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</si>
  <si>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</si>
  <si>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</si>
  <si>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</si>
  <si>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</si>
  <si>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</si>
  <si>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</si>
  <si>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</si>
  <si>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</si>
  <si>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</si>
  <si>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</si>
  <si>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</si>
  <si>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</si>
  <si>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</si>
  <si>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</si>
  <si>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</si>
  <si>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</si>
  <si>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</si>
  <si>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</si>
  <si>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</si>
  <si>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</si>
  <si>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</si>
  <si>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</si>
  <si>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</si>
  <si>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</si>
  <si>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</si>
  <si>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</si>
  <si>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</si>
  <si>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</si>
  <si>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</si>
  <si>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</si>
  <si>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</si>
  <si>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</si>
  <si>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</si>
  <si>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</si>
  <si>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</si>
  <si>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</si>
  <si>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</si>
  <si>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</si>
  <si>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</si>
  <si>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</si>
  <si>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</si>
  <si>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</si>
  <si>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</si>
  <si>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</si>
  <si>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</si>
  <si>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</si>
  <si>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</si>
  <si>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</si>
  <si>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</si>
  <si>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</si>
  <si>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</si>
  <si>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</si>
  <si>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</si>
  <si>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</si>
  <si>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</si>
  <si>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</si>
  <si>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</si>
  <si>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</si>
  <si>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</si>
  <si>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</si>
  <si>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</si>
  <si>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</si>
  <si>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</si>
  <si>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</si>
  <si>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</si>
  <si>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</si>
  <si>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</si>
  <si>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</si>
  <si>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</si>
  <si>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</si>
  <si>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</si>
  <si>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</si>
  <si>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</si>
  <si>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</si>
  <si>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</si>
  <si>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</si>
  <si>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</si>
  <si>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</si>
  <si>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</si>
  <si>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</si>
  <si>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</si>
  <si>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</si>
  <si>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</si>
  <si>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</si>
  <si>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</si>
  <si>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</si>
  <si>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</si>
  <si>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</si>
  <si>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</si>
  <si>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</si>
  <si>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</si>
  <si>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</si>
  <si>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</si>
  <si>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</si>
  <si>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</si>
  <si>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</si>
  <si>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</si>
  <si>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</si>
  <si>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</si>
  <si>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</si>
  <si>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</si>
  <si>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</si>
  <si>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</si>
  <si>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</si>
  <si>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</si>
  <si>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</si>
  <si>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</si>
  <si>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</si>
  <si>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</si>
  <si>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</si>
  <si>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</si>
  <si>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</si>
  <si>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</si>
  <si>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</si>
  <si>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</si>
  <si>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</si>
  <si>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</si>
  <si>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</si>
  <si>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</si>
  <si>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</si>
  <si>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</si>
  <si>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</si>
  <si>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</si>
  <si>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</si>
  <si>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</si>
  <si>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</si>
  <si>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</si>
  <si>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</si>
  <si>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</si>
  <si>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</si>
  <si>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</si>
  <si>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</si>
  <si>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</si>
  <si>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</si>
  <si>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</si>
  <si>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</si>
  <si>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</si>
  <si>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</si>
  <si>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</si>
  <si>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</si>
  <si>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</si>
  <si>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</si>
  <si>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</si>
  <si>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</si>
  <si>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</si>
  <si>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</si>
  <si>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</si>
  <si>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</si>
  <si>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</si>
  <si>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</si>
  <si>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</si>
  <si>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</si>
  <si>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</si>
  <si>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</si>
  <si>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</si>
  <si>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</si>
  <si>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</si>
  <si>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</si>
  <si>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</si>
  <si>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</si>
  <si>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</si>
  <si>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</si>
  <si>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</si>
  <si>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</si>
  <si>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</si>
  <si>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</si>
  <si>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</si>
  <si>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</si>
  <si>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</si>
  <si>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</si>
  <si>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</si>
  <si>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</si>
  <si>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</si>
  <si>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</si>
  <si>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</si>
  <si>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</si>
  <si>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</si>
  <si>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</si>
  <si>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</si>
  <si>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</si>
  <si>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</si>
  <si>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</si>
  <si>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</si>
  <si>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</si>
  <si>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</si>
  <si>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</si>
  <si>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</si>
  <si>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</si>
  <si>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</si>
  <si>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</si>
  <si>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</si>
  <si>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</si>
  <si>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</si>
  <si>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</si>
  <si>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</si>
  <si>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</si>
  <si>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</si>
  <si>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</si>
  <si>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</si>
  <si>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</si>
  <si>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</si>
  <si>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</si>
  <si>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</si>
  <si>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</si>
  <si>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</si>
  <si>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</si>
  <si>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</si>
  <si>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</si>
  <si>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</si>
  <si>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</si>
  <si>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</si>
  <si>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</si>
  <si>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</si>
  <si>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</si>
  <si>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</si>
  <si>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</si>
  <si>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</si>
  <si>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</si>
  <si>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</si>
  <si>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</si>
  <si>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</si>
  <si>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</si>
  <si>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</si>
  <si>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</si>
  <si>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</si>
  <si>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</si>
  <si>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</si>
  <si>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</si>
  <si>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</si>
  <si>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</si>
  <si>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</si>
  <si>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</si>
  <si>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</si>
  <si>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</si>
  <si>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</si>
  <si>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</si>
  <si>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</si>
  <si>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</si>
  <si>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</si>
  <si>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</si>
  <si>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</si>
  <si>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</si>
  <si>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</si>
  <si>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</si>
  <si>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</si>
  <si>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</si>
  <si>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</si>
  <si>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</si>
  <si>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</si>
  <si>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</si>
  <si>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</si>
  <si>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</si>
  <si>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</si>
  <si>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</si>
  <si>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</si>
  <si>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</si>
  <si>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</si>
  <si>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</si>
  <si>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</si>
  <si>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</si>
  <si>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</si>
  <si>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</si>
  <si>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</si>
  <si>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</si>
  <si>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</si>
  <si>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</si>
  <si>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</si>
  <si>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</si>
  <si>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</si>
  <si>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</si>
  <si>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</si>
  <si>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</si>
  <si>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</si>
  <si>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</si>
  <si>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</si>
  <si>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</si>
  <si>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</si>
  <si>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</si>
  <si>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</si>
  <si>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</si>
  <si>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</si>
  <si>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</si>
  <si>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</si>
  <si>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</si>
  <si>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</si>
  <si>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</si>
  <si>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</si>
  <si>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</si>
  <si>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</si>
  <si>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</si>
  <si>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</si>
  <si>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</si>
  <si>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</si>
  <si>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</si>
  <si>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</si>
  <si>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</si>
  <si>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</si>
  <si>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</si>
  <si>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</si>
  <si>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</si>
  <si>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</si>
  <si>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</si>
  <si>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</si>
  <si>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</si>
  <si>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</si>
  <si>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</si>
  <si>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</si>
  <si>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</si>
  <si>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</si>
  <si>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</si>
  <si>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</si>
  <si>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</si>
  <si>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</si>
  <si>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</si>
  <si>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</si>
  <si>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</si>
  <si>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</si>
  <si>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</si>
  <si>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</si>
  <si>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</si>
  <si>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</si>
  <si>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</si>
  <si>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</si>
  <si>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</si>
  <si>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</si>
  <si>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</si>
  <si>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</si>
  <si>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</si>
  <si>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</si>
  <si>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</si>
  <si>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</si>
  <si>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</si>
  <si>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</si>
  <si>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</si>
  <si>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</si>
  <si>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</si>
  <si>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</si>
  <si>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</si>
  <si>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</si>
  <si>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</si>
  <si>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</si>
  <si>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</si>
  <si>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</si>
  <si>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</si>
  <si>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</si>
  <si>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</si>
  <si>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</si>
  <si>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</si>
  <si>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</si>
  <si>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</si>
  <si>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</si>
  <si>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</si>
  <si>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</si>
  <si>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</si>
  <si>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</si>
  <si>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</si>
  <si>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</si>
  <si>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</si>
  <si>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</si>
  <si>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</si>
  <si>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</si>
  <si>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</si>
  <si>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</si>
  <si>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</si>
  <si>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</si>
  <si>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</si>
  <si>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</si>
  <si>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</si>
  <si>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</si>
  <si>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</si>
  <si>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</si>
  <si>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</si>
  <si>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</si>
  <si>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</si>
  <si>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</si>
  <si>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</si>
  <si>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</si>
  <si>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</si>
  <si>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</si>
  <si>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</si>
  <si>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</si>
  <si>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</si>
  <si>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</si>
  <si>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</si>
  <si>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</si>
  <si>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</si>
  <si>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</si>
  <si>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</si>
  <si>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</si>
  <si>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</si>
  <si>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</si>
  <si>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</si>
  <si>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</si>
  <si>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</si>
  <si>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</si>
  <si>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</si>
  <si>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</si>
  <si>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</si>
  <si>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</si>
  <si>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</si>
  <si>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</si>
  <si>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</si>
  <si>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</si>
  <si>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</si>
  <si>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</si>
  <si>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</si>
  <si>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</si>
  <si>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</si>
  <si>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</si>
  <si>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</si>
  <si>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</si>
  <si>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</si>
  <si>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</si>
  <si>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</si>
  <si>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</si>
  <si>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</si>
  <si>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</si>
  <si>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</si>
  <si>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</si>
  <si>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</si>
  <si>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</si>
  <si>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</si>
  <si>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</si>
  <si>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</si>
  <si>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</si>
  <si>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</si>
  <si>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</si>
  <si>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</si>
  <si>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</si>
  <si>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</si>
  <si>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</si>
  <si>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</si>
  <si>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</si>
  <si>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</si>
  <si>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</si>
  <si>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</si>
  <si>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</si>
  <si>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</si>
  <si>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</si>
  <si>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</si>
  <si>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</si>
  <si>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</si>
  <si>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</si>
  <si>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</si>
  <si>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</si>
  <si>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</si>
  <si>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</si>
  <si>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</si>
  <si>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</si>
  <si>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</si>
  <si>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</si>
  <si>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</si>
  <si>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</si>
  <si>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</si>
  <si>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</si>
  <si>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</si>
  <si>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</si>
  <si>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</si>
  <si>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</si>
  <si>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</si>
  <si>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</si>
  <si>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</si>
  <si>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</si>
  <si>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</si>
  <si>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</si>
  <si>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</si>
  <si>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</si>
  <si>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</si>
  <si>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</si>
  <si>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</si>
  <si>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</si>
  <si>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</si>
  <si>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</si>
  <si>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</si>
  <si>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</si>
  <si>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</si>
  <si>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</si>
  <si>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</si>
  <si>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</si>
  <si>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</si>
  <si>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</si>
  <si>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</si>
  <si>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</si>
  <si>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</si>
  <si>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</si>
  <si>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</si>
  <si>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</si>
  <si>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</si>
  <si>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</si>
  <si>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</si>
  <si>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</si>
  <si>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</si>
  <si>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</si>
  <si>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</si>
  <si>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</si>
  <si>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</si>
  <si>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</si>
  <si>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</si>
  <si>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</si>
  <si>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</si>
  <si>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</si>
  <si>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</si>
  <si>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</si>
  <si>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</si>
  <si>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</si>
  <si>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</si>
  <si>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</si>
  <si>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</si>
  <si>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</si>
  <si>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</si>
  <si>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</si>
  <si>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</si>
  <si>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</si>
  <si>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</si>
  <si>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</si>
  <si>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</si>
  <si>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</si>
  <si>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</si>
  <si>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</si>
  <si>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</si>
  <si>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</si>
  <si>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</si>
  <si>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</si>
  <si>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</si>
  <si>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</si>
  <si>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</si>
  <si>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</si>
  <si>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</si>
  <si>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</si>
  <si>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</si>
  <si>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</si>
  <si>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</si>
  <si>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</si>
  <si>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</si>
  <si>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</si>
  <si>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</si>
  <si>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</si>
  <si>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</si>
  <si>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</si>
  <si>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</si>
  <si>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</si>
  <si>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</si>
  <si>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</si>
  <si>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</si>
  <si>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</si>
  <si>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</si>
  <si>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</si>
  <si>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</si>
  <si>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</si>
  <si>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</si>
  <si>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</si>
  <si>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</si>
  <si>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</si>
  <si>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</si>
  <si>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</si>
  <si>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</si>
  <si>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</si>
  <si>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</si>
  <si>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</si>
  <si>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</si>
  <si>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</si>
  <si>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</si>
  <si>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</si>
  <si>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</si>
  <si>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</si>
  <si>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</si>
  <si>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</si>
  <si>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</si>
  <si>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</si>
  <si>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</si>
  <si>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</si>
  <si>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</si>
  <si>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</si>
  <si>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</si>
  <si>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</si>
  <si>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</si>
  <si>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</si>
  <si>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</si>
  <si>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</si>
  <si>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</si>
  <si>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</si>
  <si>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</si>
  <si>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</si>
  <si>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</si>
  <si>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</si>
  <si>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</si>
  <si>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</si>
  <si>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</si>
  <si>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</si>
  <si>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</si>
  <si>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</si>
  <si>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</si>
  <si>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</si>
  <si>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</si>
  <si>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</si>
  <si>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</si>
  <si>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</si>
  <si>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</si>
  <si>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</si>
  <si>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</si>
  <si>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</si>
  <si>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</si>
  <si>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</si>
  <si>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</si>
  <si>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</si>
  <si>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</si>
  <si>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</si>
  <si>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</si>
  <si>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</si>
  <si>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</si>
  <si>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</si>
  <si>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</si>
  <si>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</si>
  <si>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</si>
  <si>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</si>
  <si>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</si>
  <si>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</si>
  <si>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</si>
  <si>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</si>
  <si>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</si>
  <si>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</si>
  <si>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</si>
  <si>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</si>
  <si>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</si>
  <si>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</si>
  <si>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</si>
  <si>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</si>
  <si>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</si>
  <si>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</si>
  <si>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</si>
  <si>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</si>
  <si>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</si>
  <si>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</si>
  <si>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</si>
  <si>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</si>
  <si>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</si>
  <si>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</si>
  <si>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</si>
  <si>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</si>
  <si>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</si>
  <si>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</si>
  <si>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</si>
  <si>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</si>
  <si>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</si>
  <si>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</si>
  <si>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</si>
  <si>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</si>
  <si>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</si>
  <si>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</si>
  <si>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</si>
  <si>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</si>
  <si>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</si>
  <si>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</si>
  <si>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</si>
  <si>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</si>
  <si>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</si>
  <si>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</si>
  <si>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</si>
  <si>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</si>
  <si>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</si>
  <si>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</si>
  <si>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</si>
  <si>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</si>
  <si>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</si>
  <si>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</si>
  <si>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</si>
  <si>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</si>
  <si>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</si>
  <si>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</si>
  <si>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</si>
  <si>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</si>
  <si>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</si>
  <si>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</si>
  <si>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</si>
  <si>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</si>
  <si>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</si>
  <si>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</si>
  <si>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</si>
  <si>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</si>
  <si>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</si>
  <si>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</si>
  <si>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</si>
  <si>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</si>
  <si>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</si>
  <si>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</si>
  <si>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</si>
  <si>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</si>
  <si>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</si>
  <si>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</si>
  <si>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</si>
  <si>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</si>
  <si>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</si>
  <si>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</si>
  <si>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</si>
  <si>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</si>
  <si>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</si>
  <si>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</si>
  <si>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</si>
  <si>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</si>
  <si>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</si>
  <si>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</si>
  <si>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</si>
  <si>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</si>
  <si>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</si>
  <si>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</si>
  <si>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</si>
  <si>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</si>
  <si>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</si>
  <si>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</si>
  <si>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</si>
  <si>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</si>
  <si>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</si>
  <si>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</si>
  <si>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</si>
  <si>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</si>
  <si>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</si>
  <si>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</si>
  <si>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</si>
  <si>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</si>
  <si>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</si>
  <si>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</si>
  <si>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</si>
  <si>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</si>
  <si>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</si>
  <si>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</si>
  <si>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</si>
  <si>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</si>
  <si>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</si>
  <si>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</si>
  <si>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</si>
  <si>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</si>
  <si>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</si>
  <si>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</si>
  <si>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</si>
  <si>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</si>
  <si>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</si>
  <si>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</si>
  <si>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</si>
  <si>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</si>
  <si>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</si>
  <si>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</si>
  <si>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</si>
  <si>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</si>
  <si>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</si>
  <si>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</si>
  <si>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</si>
  <si>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</si>
  <si>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</si>
  <si>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</si>
  <si>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</si>
  <si>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</si>
  <si>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</si>
  <si>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</si>
  <si>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</si>
  <si>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</si>
  <si>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</si>
  <si>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</si>
  <si>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</si>
  <si>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</si>
  <si>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</si>
  <si>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</si>
  <si>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</si>
  <si>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</si>
  <si>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</si>
  <si>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</si>
  <si>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</si>
  <si>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</si>
  <si>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</si>
  <si>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</si>
  <si>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</si>
  <si>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</si>
  <si>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</si>
  <si>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</si>
  <si>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</si>
  <si>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</si>
  <si>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</si>
  <si>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</si>
  <si>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</si>
  <si>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</si>
  <si>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</si>
  <si>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</si>
  <si>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</si>
  <si>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</si>
  <si>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</si>
  <si>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</si>
  <si>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</si>
  <si>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</si>
  <si>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</si>
  <si>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</si>
  <si>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</si>
  <si>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</si>
  <si>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</si>
  <si>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</si>
  <si>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</si>
  <si>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</si>
  <si>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</si>
  <si>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</si>
  <si>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</si>
  <si>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</si>
  <si>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</si>
  <si>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</si>
  <si>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</si>
  <si>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</si>
  <si>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</si>
  <si>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</si>
  <si>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</si>
  <si>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</si>
  <si>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</si>
  <si>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</si>
  <si>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</si>
  <si>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</si>
  <si>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</si>
  <si>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</si>
  <si>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</si>
  <si>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</si>
  <si>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</si>
  <si>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</si>
  <si>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</si>
  <si>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</si>
  <si>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</si>
  <si>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</si>
  <si>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</si>
  <si>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</si>
  <si>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</si>
  <si>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</si>
  <si>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</si>
  <si>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</si>
  <si>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</si>
  <si>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</si>
  <si>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</si>
  <si>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</si>
  <si>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</si>
  <si>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</si>
  <si>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</si>
  <si>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</si>
  <si>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</si>
  <si>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</si>
  <si>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</si>
  <si>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</si>
  <si>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</si>
  <si>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</si>
  <si>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</si>
  <si>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</si>
  <si>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</si>
  <si>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</si>
  <si>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</si>
  <si>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</si>
  <si>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</si>
  <si>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</si>
  <si>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</si>
  <si>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</si>
  <si>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</si>
  <si>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</si>
  <si>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</si>
  <si>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</si>
  <si>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</si>
  <si>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</si>
  <si>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</si>
  <si>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</si>
  <si>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</si>
  <si>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</si>
  <si>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</si>
  <si>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</si>
  <si>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</si>
  <si>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</si>
  <si>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</si>
  <si>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</si>
  <si>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</si>
  <si>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</si>
  <si>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</si>
  <si>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</si>
  <si>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</si>
  <si>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</si>
  <si>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</si>
  <si>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</si>
  <si>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</si>
  <si>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</si>
  <si>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</si>
  <si>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</si>
  <si>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</si>
  <si>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</si>
  <si>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</si>
  <si>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</si>
  <si>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</si>
  <si>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</si>
  <si>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</si>
  <si>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</si>
  <si>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</si>
  <si>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</si>
  <si>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</si>
  <si>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</si>
  <si>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</si>
  <si>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</si>
  <si>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</si>
  <si>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</si>
  <si>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</si>
  <si>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</si>
  <si>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</si>
  <si>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</si>
  <si>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</si>
  <si>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</si>
  <si>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</si>
  <si>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</si>
  <si>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</si>
  <si>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</si>
  <si>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</si>
  <si>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</si>
  <si>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</si>
  <si>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</si>
  <si>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</si>
  <si>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</si>
  <si>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</si>
  <si>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</si>
  <si>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</si>
  <si>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</si>
  <si>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</si>
  <si>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</si>
  <si>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</si>
  <si>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</si>
  <si>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</si>
  <si>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</si>
  <si>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</si>
  <si>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</si>
  <si>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</si>
  <si>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</si>
  <si>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</si>
  <si>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</si>
  <si>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</si>
  <si>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</si>
  <si>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</si>
  <si>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</si>
  <si>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</si>
  <si>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</si>
  <si>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</si>
  <si>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</si>
  <si>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</si>
  <si>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</si>
  <si>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</si>
  <si>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</si>
  <si>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</si>
  <si>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</si>
  <si>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</si>
  <si>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</si>
  <si>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</si>
  <si>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</si>
  <si>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</si>
  <si>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</si>
  <si>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</si>
  <si>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</si>
  <si>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</si>
  <si>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</si>
  <si>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</si>
  <si>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</si>
  <si>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</si>
  <si>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</si>
  <si>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</si>
  <si>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</si>
  <si>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</si>
  <si>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</si>
  <si>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</si>
  <si>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</si>
  <si>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</si>
  <si>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</si>
  <si>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</si>
  <si>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</si>
  <si>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</si>
  <si>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</si>
  <si>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</si>
  <si>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</si>
  <si>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</si>
  <si>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</si>
  <si>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</si>
  <si>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</si>
  <si>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</si>
  <si>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</si>
  <si>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</si>
  <si>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</si>
  <si>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</si>
  <si>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</si>
  <si>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</si>
  <si>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</si>
  <si>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</si>
  <si>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</si>
  <si>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</si>
  <si>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</si>
  <si>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</si>
  <si>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</si>
  <si>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</si>
  <si>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</si>
  <si>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</si>
  <si>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</si>
  <si>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</si>
  <si>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</si>
  <si>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</si>
  <si>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</si>
  <si>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</si>
  <si>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</si>
  <si>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</si>
  <si>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</si>
  <si>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</si>
  <si>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</si>
  <si>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</si>
  <si>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</si>
  <si>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</si>
  <si>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</si>
  <si>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</si>
  <si>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</si>
  <si>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</si>
  <si>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</si>
  <si>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</si>
  <si>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</si>
  <si>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</si>
  <si>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</si>
  <si>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</si>
  <si>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</si>
  <si>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</si>
  <si>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</si>
  <si>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</si>
  <si>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</si>
  <si>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</si>
  <si>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</si>
  <si>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</si>
  <si>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</si>
  <si>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</si>
  <si>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</si>
  <si>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</si>
  <si>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</si>
  <si>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</si>
  <si>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</si>
  <si>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</si>
  <si>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</si>
  <si>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</si>
  <si>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</si>
  <si>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</si>
  <si>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</si>
  <si>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</si>
  <si>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</si>
  <si>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</si>
  <si>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</si>
  <si>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</si>
  <si>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</si>
  <si>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</si>
  <si>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</si>
  <si>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</si>
  <si>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</si>
  <si>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</si>
  <si>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</si>
  <si>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</si>
  <si>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</si>
  <si>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</si>
  <si>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</si>
  <si>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</si>
  <si>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</si>
  <si>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</si>
  <si>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</si>
  <si>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</si>
  <si>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</si>
  <si>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</si>
  <si>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</si>
  <si>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</si>
  <si>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</si>
  <si>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</si>
  <si>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</si>
  <si>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</si>
  <si>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</si>
  <si>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</si>
  <si>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</si>
  <si>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</si>
  <si>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</si>
  <si>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</si>
  <si>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</si>
  <si>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</si>
  <si>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</si>
  <si>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</si>
  <si>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</si>
  <si>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</si>
  <si>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</si>
  <si>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</si>
  <si>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</si>
  <si>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</si>
  <si>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</si>
  <si>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</si>
  <si>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</si>
  <si>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</si>
  <si>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</si>
  <si>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</si>
  <si>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</si>
  <si>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</si>
  <si>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</si>
  <si>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</si>
  <si>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</si>
  <si>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</si>
  <si>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</si>
  <si>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</si>
  <si>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</si>
  <si>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</si>
  <si>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</si>
  <si>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</si>
  <si>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</si>
  <si>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</si>
  <si>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</si>
  <si>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</si>
  <si>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</si>
  <si>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</si>
  <si>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</si>
  <si>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</si>
  <si>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</si>
  <si>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</si>
  <si>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</si>
  <si>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</si>
  <si>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</si>
  <si>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</si>
  <si>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</si>
  <si>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</si>
  <si>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</si>
  <si>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</si>
  <si>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</si>
  <si>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</si>
  <si>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</si>
  <si>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</si>
  <si>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</si>
  <si>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</si>
  <si>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</si>
  <si>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</si>
  <si>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</si>
  <si>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</si>
  <si>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</si>
  <si>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</si>
  <si>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</si>
  <si>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</si>
  <si>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</si>
  <si>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</si>
  <si>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</si>
  <si>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</si>
  <si>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</si>
  <si>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</si>
  <si>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</si>
  <si>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</si>
  <si>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</si>
  <si>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</si>
  <si>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</si>
  <si>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</si>
  <si>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</si>
  <si>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</si>
  <si>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</si>
  <si>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</si>
  <si>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</si>
  <si>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</si>
  <si>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</si>
  <si>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</si>
  <si>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</si>
  <si>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</si>
  <si>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</si>
  <si>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</si>
  <si>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</si>
  <si>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</si>
  <si>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</si>
  <si>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</si>
  <si>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</si>
  <si>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</si>
  <si>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</si>
  <si>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</si>
  <si>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</si>
  <si>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</si>
  <si>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</si>
  <si>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</si>
  <si>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</si>
  <si>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</si>
  <si>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</si>
  <si>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</si>
  <si>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</si>
  <si>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</si>
  <si>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</si>
  <si>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</si>
  <si>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</si>
  <si>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</si>
  <si>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</si>
  <si>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</si>
  <si>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</si>
  <si>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</si>
  <si>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</si>
  <si>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</si>
  <si>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</si>
  <si>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</si>
  <si>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</si>
  <si>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</si>
  <si>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</si>
  <si>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</si>
  <si>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</si>
  <si>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</si>
  <si>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</si>
  <si>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</si>
  <si>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</si>
  <si>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</si>
  <si>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</si>
  <si>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</si>
  <si>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</si>
  <si>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</si>
  <si>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</si>
  <si>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</si>
  <si>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</si>
  <si>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</si>
  <si>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</si>
  <si>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</si>
  <si>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</si>
  <si>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</si>
  <si>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</si>
  <si>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</si>
  <si>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</si>
  <si>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</si>
  <si>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</si>
  <si>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</si>
  <si>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</si>
  <si>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</si>
  <si>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</si>
  <si>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</si>
  <si>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</si>
  <si>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</si>
  <si>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</si>
  <si>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</si>
  <si>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</si>
  <si>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</si>
  <si>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</si>
  <si>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</si>
  <si>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</si>
  <si>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</si>
  <si>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</si>
  <si>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</si>
  <si>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</si>
  <si>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</si>
  <si>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</si>
  <si>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</si>
  <si>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</si>
  <si>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</si>
  <si>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</si>
  <si>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</si>
  <si>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</si>
  <si>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</si>
  <si>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</si>
  <si>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</si>
  <si>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</si>
  <si>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</si>
  <si>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</si>
  <si>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</si>
  <si>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</si>
  <si>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</si>
  <si>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</si>
  <si>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</si>
  <si>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</si>
  <si>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</si>
  <si>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</si>
  <si>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</si>
  <si>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</si>
  <si>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</si>
  <si>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</si>
  <si>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</si>
  <si>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</si>
  <si>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</si>
  <si>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</si>
  <si>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</si>
  <si>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</si>
  <si>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</si>
  <si>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</si>
  <si>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</si>
  <si>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</si>
  <si>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</si>
  <si>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</si>
  <si>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</si>
  <si>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</si>
  <si>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</si>
  <si>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</si>
  <si>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</si>
  <si>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</si>
  <si>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</si>
  <si>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</si>
  <si>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</si>
  <si>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</si>
  <si>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</si>
  <si>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</si>
  <si>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</si>
  <si>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</si>
  <si>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</si>
  <si>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</si>
  <si>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</si>
  <si>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</si>
  <si>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</si>
  <si>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</si>
  <si>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</si>
  <si>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</si>
  <si>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</si>
  <si>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</si>
  <si>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</si>
  <si>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</si>
  <si>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</si>
  <si>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</si>
  <si>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</si>
  <si>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</si>
  <si>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</si>
  <si>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</si>
  <si>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</si>
  <si>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</si>
  <si>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</si>
  <si>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</si>
  <si>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</si>
  <si>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</si>
  <si>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</si>
  <si>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</si>
  <si>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</si>
  <si>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</si>
  <si>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</si>
  <si>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</si>
  <si>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</si>
  <si>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</si>
  <si>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</si>
  <si>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</si>
  <si>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</si>
  <si>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</si>
  <si>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</si>
  <si>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</si>
  <si>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</si>
  <si>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</si>
  <si>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</si>
  <si>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</si>
  <si>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</si>
  <si>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</si>
  <si>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</si>
  <si>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</si>
  <si>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</si>
  <si>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</si>
  <si>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</si>
  <si>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</si>
  <si>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</si>
  <si>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</si>
  <si>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</si>
  <si>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</si>
  <si>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</si>
  <si>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</si>
  <si>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</si>
  <si>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</si>
  <si>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</si>
  <si>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</si>
  <si>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</si>
  <si>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</si>
  <si>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</si>
  <si>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</si>
  <si>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</si>
  <si>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</si>
  <si>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</si>
  <si>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</si>
  <si>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</si>
  <si>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</si>
  <si>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</si>
  <si>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</si>
  <si>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</si>
  <si>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</si>
  <si>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</si>
  <si>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</si>
  <si>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</si>
  <si>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</si>
  <si>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</si>
  <si>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</si>
  <si>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</si>
  <si>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</si>
  <si>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</si>
  <si>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</si>
  <si>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</si>
  <si>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</si>
  <si>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</si>
  <si>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</si>
  <si>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</si>
  <si>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</si>
  <si>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</si>
  <si>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</si>
  <si>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</si>
  <si>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</si>
  <si>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</si>
  <si>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</si>
  <si>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</si>
  <si>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</si>
  <si>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</si>
  <si>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</si>
  <si>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</si>
  <si>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</si>
  <si>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</si>
  <si>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</si>
  <si>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</si>
  <si>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</si>
  <si>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</si>
  <si>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</si>
  <si>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</si>
  <si>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</si>
  <si>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</si>
  <si>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</si>
  <si>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</si>
  <si>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</si>
  <si>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</si>
  <si>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</si>
  <si>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</si>
  <si>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</si>
  <si>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</si>
  <si>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</si>
  <si>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</si>
  <si>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</si>
  <si>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</si>
  <si>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</si>
  <si>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</si>
  <si>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</si>
  <si>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</si>
  <si>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</si>
  <si>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</si>
  <si>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</si>
  <si>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</si>
  <si>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</si>
  <si>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</si>
  <si>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</si>
  <si>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</si>
  <si>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</si>
  <si>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</si>
  <si>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</si>
  <si>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</si>
  <si>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</si>
  <si>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</si>
  <si>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</si>
  <si>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</si>
  <si>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</si>
  <si>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</si>
  <si>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</si>
  <si>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</si>
  <si>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</si>
  <si>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</si>
  <si>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</si>
  <si>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</si>
  <si>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</si>
  <si>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</si>
  <si>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</si>
  <si>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</si>
  <si>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</si>
  <si>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</si>
  <si>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</si>
  <si>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</si>
  <si>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</si>
  <si>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</si>
  <si>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</si>
  <si>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</si>
  <si>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</si>
  <si>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</si>
  <si>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</si>
  <si>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</si>
  <si>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</si>
  <si>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</si>
  <si>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</si>
  <si>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</si>
  <si>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</si>
  <si>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</si>
  <si>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</si>
  <si>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</si>
  <si>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</si>
  <si>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</si>
  <si>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</si>
  <si>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</si>
  <si>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</si>
  <si>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</si>
  <si>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</si>
  <si>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</si>
  <si>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</si>
  <si>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</si>
  <si>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</si>
  <si>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</si>
  <si>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</si>
  <si>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</si>
  <si>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</si>
  <si>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</si>
  <si>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</si>
  <si>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</si>
  <si>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</si>
  <si>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</si>
  <si>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</si>
  <si>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</si>
  <si>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</si>
  <si>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</si>
  <si>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</si>
  <si>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</si>
  <si>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</si>
  <si>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</si>
  <si>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</si>
  <si>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</si>
  <si>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</si>
  <si>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</si>
  <si>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</si>
  <si>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</si>
  <si>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</si>
  <si>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</si>
  <si>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</si>
  <si>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</si>
  <si>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</si>
  <si>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</si>
  <si>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</si>
  <si>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</si>
  <si>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</si>
  <si>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</si>
  <si>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</si>
  <si>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</si>
  <si>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</si>
  <si>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</si>
  <si>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</si>
  <si>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</si>
  <si>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</si>
  <si>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</si>
  <si>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</si>
  <si>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</si>
  <si>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</si>
  <si>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</si>
  <si>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</si>
  <si>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</si>
  <si>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</si>
  <si>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</si>
  <si>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</si>
  <si>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</si>
  <si>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</si>
  <si>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</si>
  <si>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</si>
  <si>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</si>
  <si>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</si>
  <si>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</si>
  <si>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</si>
  <si>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</si>
  <si>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</si>
  <si>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</si>
  <si>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</si>
  <si>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</si>
  <si>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</si>
  <si>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</si>
  <si>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</si>
  <si>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</si>
  <si>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</si>
  <si>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</si>
  <si>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</si>
  <si>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</si>
  <si>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</si>
  <si>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</si>
  <si>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</si>
  <si>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</si>
  <si>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</si>
  <si>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</si>
  <si>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</si>
  <si>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</si>
  <si>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</si>
  <si>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</si>
  <si>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</si>
  <si>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</si>
  <si>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</si>
  <si>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</si>
  <si>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</si>
  <si>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</si>
  <si>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</si>
  <si>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</si>
  <si>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</si>
  <si>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</si>
  <si>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</si>
  <si>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</si>
  <si>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</si>
  <si>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</si>
  <si>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</si>
  <si>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</si>
  <si>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</si>
  <si>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</si>
  <si>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</si>
  <si>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</si>
  <si>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</si>
  <si>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</si>
  <si>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</si>
  <si>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</si>
  <si>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</si>
  <si>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</si>
  <si>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</si>
  <si>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</si>
  <si>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</si>
  <si>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</si>
  <si>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</si>
  <si>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</si>
  <si>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</si>
  <si>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</si>
  <si>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</si>
  <si>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</si>
  <si>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</si>
  <si>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</si>
  <si>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</si>
  <si>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</si>
  <si>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</si>
  <si>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</si>
  <si>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</si>
  <si>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</si>
  <si>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</si>
  <si>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</si>
  <si>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</si>
  <si>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</si>
  <si>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</si>
  <si>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</si>
  <si>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</si>
  <si>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</si>
  <si>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</si>
  <si>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</si>
  <si>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</si>
  <si>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</si>
  <si>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</si>
  <si>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</si>
  <si>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</si>
  <si>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</si>
  <si>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</si>
  <si>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</si>
  <si>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</si>
  <si>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</si>
  <si>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</si>
  <si>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</si>
  <si>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</si>
  <si>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</si>
  <si>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</si>
  <si>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</si>
  <si>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</si>
  <si>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</si>
  <si>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</si>
  <si>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</si>
  <si>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</si>
  <si>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</si>
  <si>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</si>
  <si>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</si>
  <si>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</si>
  <si>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</si>
  <si>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</si>
  <si>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</si>
  <si>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</si>
  <si>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</si>
  <si>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</si>
  <si>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</si>
  <si>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</si>
  <si>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</si>
  <si>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</si>
  <si>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</si>
  <si>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</si>
  <si>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</si>
  <si>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</si>
  <si>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</si>
  <si>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</si>
  <si>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</si>
  <si>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</si>
  <si>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</si>
  <si>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</si>
  <si>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</si>
  <si>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</si>
  <si>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</si>
  <si>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</si>
  <si>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</si>
  <si>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</si>
  <si>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</si>
  <si>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</si>
  <si>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</si>
  <si>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</si>
  <si>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</si>
  <si>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</si>
  <si>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</si>
  <si>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</si>
  <si>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</si>
  <si>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</si>
  <si>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</si>
  <si>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</si>
  <si>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</si>
  <si>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</si>
  <si>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</si>
  <si>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</si>
  <si>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</si>
  <si>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</si>
  <si>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</si>
  <si>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</si>
  <si>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</si>
  <si>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</si>
  <si>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</si>
  <si>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</si>
  <si>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</si>
  <si>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</si>
  <si>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</si>
  <si>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</si>
  <si>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</si>
  <si>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</si>
  <si>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</si>
  <si>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</si>
  <si>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</si>
  <si>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</si>
  <si>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</si>
  <si>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</si>
  <si>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</si>
  <si>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</si>
  <si>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</si>
  <si>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</si>
  <si>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</si>
  <si>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</si>
  <si>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</si>
  <si>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</si>
  <si>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</si>
  <si>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</si>
  <si>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</si>
  <si>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</si>
  <si>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</si>
  <si>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</si>
  <si>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</si>
  <si>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</si>
  <si>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</si>
  <si>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</si>
  <si>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</si>
  <si>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</si>
  <si>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</si>
  <si>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</si>
  <si>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</si>
  <si>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</si>
  <si>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</si>
  <si>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</si>
  <si>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</si>
  <si>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</si>
  <si>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</si>
  <si>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</si>
  <si>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</si>
  <si>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</si>
  <si>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</si>
  <si>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</si>
  <si>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</si>
  <si>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</si>
  <si>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</si>
  <si>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</si>
  <si>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</si>
  <si>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</si>
  <si>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</si>
  <si>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</si>
  <si>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</si>
  <si>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</si>
  <si>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</si>
  <si>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</si>
  <si>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</si>
  <si>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</si>
  <si>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</si>
  <si>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</si>
  <si>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</si>
  <si>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</si>
  <si>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</si>
  <si>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</si>
  <si>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</si>
  <si>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</si>
  <si>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</si>
  <si>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</si>
  <si>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</si>
  <si>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</si>
  <si>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</si>
  <si>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</si>
  <si>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</si>
  <si>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</si>
  <si>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</si>
  <si>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</si>
  <si>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</si>
  <si>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</si>
  <si>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</si>
  <si>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</si>
  <si>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</si>
  <si>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</si>
  <si>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</si>
  <si>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</si>
  <si>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</si>
  <si>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</si>
  <si>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</si>
  <si>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</si>
  <si>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</si>
  <si>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</si>
  <si>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</si>
  <si>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</si>
  <si>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</si>
  <si>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</si>
  <si>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</si>
  <si>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</si>
  <si>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</si>
  <si>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</si>
  <si>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</si>
  <si>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</si>
  <si>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</si>
  <si>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</si>
  <si>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</si>
  <si>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</si>
  <si>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</si>
  <si>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</si>
  <si>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</si>
  <si>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</si>
  <si>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</si>
  <si>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</si>
  <si>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</si>
  <si>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</si>
  <si>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</si>
  <si>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</si>
  <si>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</si>
  <si>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</si>
  <si>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</si>
  <si>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</si>
  <si>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</si>
  <si>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</si>
  <si>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</si>
  <si>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</si>
  <si>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</si>
  <si>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</si>
  <si>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</si>
  <si>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</si>
  <si>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</si>
  <si>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</si>
  <si>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</si>
  <si>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</si>
  <si>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</si>
  <si>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</si>
  <si>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</si>
  <si>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</si>
  <si>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</si>
  <si>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</si>
  <si>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</si>
  <si>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</si>
  <si>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</si>
  <si>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</si>
  <si>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</si>
  <si>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</si>
  <si>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</si>
  <si>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</si>
  <si>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</si>
  <si>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</si>
  <si>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</si>
  <si>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</si>
  <si>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</si>
  <si>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</si>
  <si>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</si>
  <si>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</si>
  <si>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</si>
  <si>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</si>
  <si>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</si>
  <si>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</si>
  <si>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</si>
  <si>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</si>
  <si>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</si>
  <si>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</si>
  <si>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</si>
  <si>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</si>
  <si>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</si>
  <si>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</si>
  <si>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</si>
  <si>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</si>
  <si>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</si>
  <si>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</si>
  <si>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</si>
  <si>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</si>
  <si>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</si>
  <si>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</si>
  <si>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</si>
  <si>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</si>
  <si>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</si>
  <si>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</si>
  <si>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</si>
  <si>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</si>
  <si>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</si>
  <si>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</si>
  <si>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</si>
  <si>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</si>
  <si>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</si>
  <si>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</si>
  <si>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</si>
  <si>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</si>
  <si>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</si>
  <si>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</si>
  <si>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</si>
  <si>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</si>
  <si>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</si>
  <si>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</si>
  <si>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</si>
  <si>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</si>
  <si>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</si>
  <si>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</si>
  <si>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</si>
  <si>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</si>
  <si>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</si>
  <si>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</si>
  <si>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</si>
  <si>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</si>
  <si>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</si>
  <si>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</si>
  <si>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</si>
  <si>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</si>
  <si>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</si>
  <si>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</si>
  <si>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</si>
  <si>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</si>
  <si>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</si>
  <si>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</si>
  <si>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</si>
  <si>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</si>
  <si>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</si>
  <si>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</si>
  <si>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</si>
  <si>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</si>
  <si>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</si>
  <si>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</si>
  <si>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</si>
  <si>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</si>
  <si>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</si>
  <si>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</si>
  <si>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</si>
  <si>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</si>
  <si>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</si>
  <si>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</si>
  <si>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</si>
  <si>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</si>
  <si>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</si>
  <si>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</si>
  <si>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</si>
  <si>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</si>
  <si>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</si>
  <si>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</si>
  <si>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</si>
  <si>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</si>
  <si>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</si>
  <si>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</si>
  <si>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</si>
  <si>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</si>
  <si>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</si>
  <si>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</si>
  <si>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</si>
  <si>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</si>
  <si>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</si>
  <si>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</si>
  <si>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</si>
  <si>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</si>
  <si>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</si>
  <si>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</si>
  <si>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</si>
  <si>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</si>
  <si>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</si>
  <si>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</si>
  <si>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</si>
  <si>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</si>
  <si>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</si>
  <si>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</si>
  <si>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</si>
  <si>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</si>
  <si>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</si>
  <si>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</si>
  <si>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</si>
  <si>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</si>
  <si>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</si>
  <si>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</si>
  <si>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</si>
  <si>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</si>
  <si>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</si>
  <si>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</si>
  <si>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</si>
  <si>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</si>
  <si>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</si>
  <si>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</si>
  <si>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</si>
  <si>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</si>
  <si>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</si>
  <si>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</si>
  <si>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</si>
  <si>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</si>
  <si>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</si>
  <si>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</si>
  <si>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</si>
  <si>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</si>
  <si>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</si>
  <si>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</si>
  <si>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</si>
  <si>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</si>
  <si>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</si>
  <si>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</si>
  <si>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</si>
  <si>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</si>
  <si>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</si>
  <si>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</si>
  <si>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</si>
  <si>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</si>
  <si>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</si>
  <si>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</si>
  <si>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</si>
  <si>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</si>
  <si>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</si>
  <si>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</si>
  <si>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</si>
  <si>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</si>
  <si>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</si>
  <si>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</si>
  <si>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</si>
  <si>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</si>
  <si>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</si>
  <si>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</si>
  <si>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</si>
  <si>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</si>
  <si>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</si>
  <si>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</si>
  <si>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</si>
  <si>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</si>
  <si>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</si>
  <si>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</si>
  <si>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</si>
  <si>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</si>
  <si>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</si>
  <si>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</si>
  <si>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</si>
  <si>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</si>
  <si>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</si>
  <si>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</si>
  <si>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</si>
  <si>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</si>
  <si>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</si>
  <si>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</si>
  <si>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</si>
  <si>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</si>
  <si>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</si>
  <si>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</si>
  <si>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</si>
  <si>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</si>
  <si>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</si>
  <si>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</si>
  <si>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</si>
  <si>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</si>
  <si>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</si>
  <si>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</si>
  <si>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</si>
  <si>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</si>
  <si>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</si>
  <si>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</si>
  <si>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</si>
  <si>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</si>
  <si>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</si>
  <si>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</si>
  <si>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</si>
  <si>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</si>
  <si>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</si>
  <si>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</si>
  <si>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</si>
  <si>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</si>
  <si>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</si>
  <si>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</si>
  <si>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</si>
  <si>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</si>
  <si>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</si>
  <si>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</si>
  <si>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</si>
  <si>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</si>
  <si>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</si>
  <si>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</si>
  <si>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</si>
  <si>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</si>
  <si>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</si>
  <si>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</si>
  <si>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</si>
  <si>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</si>
  <si>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</si>
  <si>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</si>
  <si>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</si>
  <si>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</si>
  <si>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</si>
  <si>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</si>
  <si>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</si>
  <si>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</si>
  <si>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</si>
  <si>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</si>
  <si>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</si>
  <si>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</si>
  <si>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</si>
  <si>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</si>
  <si>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</si>
  <si>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</si>
  <si>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</si>
  <si>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</si>
  <si>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</si>
  <si>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</si>
  <si>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</si>
  <si>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</si>
  <si>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</si>
  <si>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</si>
  <si>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</si>
  <si>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</si>
  <si>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</si>
  <si>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</si>
  <si>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</si>
  <si>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</si>
  <si>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</si>
  <si>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</si>
  <si>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</si>
  <si>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</si>
  <si>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</si>
  <si>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</si>
  <si>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</si>
  <si>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</si>
  <si>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</si>
  <si>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</si>
  <si>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</si>
  <si>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</si>
  <si>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</si>
  <si>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</si>
  <si>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</si>
  <si>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</si>
  <si>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</si>
  <si>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</si>
  <si>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</si>
  <si>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</si>
  <si>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</si>
  <si>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</si>
  <si>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</si>
  <si>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</si>
  <si>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</si>
  <si>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</si>
  <si>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</si>
  <si>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</si>
  <si>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</si>
  <si>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</si>
  <si>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</si>
  <si>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</si>
  <si>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</si>
  <si>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</si>
  <si>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</si>
  <si>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</si>
  <si>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</si>
  <si>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</si>
  <si>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</si>
  <si>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</si>
  <si>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</si>
  <si>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</si>
  <si>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</si>
  <si>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</si>
  <si>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</si>
  <si>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</si>
  <si>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</si>
  <si>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</si>
  <si>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</si>
  <si>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</si>
  <si>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</si>
  <si>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</si>
  <si>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</si>
  <si>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</si>
  <si>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</si>
  <si>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</si>
  <si>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</si>
  <si>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</si>
  <si>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</si>
  <si>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</si>
  <si>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</si>
  <si>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</si>
  <si>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</si>
  <si>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</si>
  <si>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</si>
  <si>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</si>
  <si>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</si>
  <si>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</si>
  <si>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</si>
  <si>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</si>
  <si>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</si>
  <si>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</si>
  <si>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</si>
  <si>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</si>
  <si>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</si>
  <si>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</si>
  <si>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</si>
  <si>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</si>
  <si>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</si>
  <si>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</si>
  <si>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</si>
  <si>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</si>
  <si>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</si>
  <si>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</si>
  <si>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</si>
  <si>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</si>
  <si>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</si>
  <si>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</si>
  <si>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</si>
  <si>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</si>
  <si>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</si>
  <si>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</si>
  <si>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</si>
  <si>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</si>
  <si>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</si>
  <si>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</si>
  <si>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</si>
  <si>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</si>
  <si>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</si>
  <si>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</si>
  <si>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</si>
  <si>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</si>
  <si>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</si>
  <si>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</si>
  <si>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</si>
  <si>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</si>
  <si>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</si>
  <si>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</si>
  <si>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</si>
  <si>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</si>
  <si>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</si>
  <si>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</si>
  <si>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</si>
  <si>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</si>
  <si>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</si>
  <si>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</si>
  <si>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</si>
  <si>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</si>
  <si>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</si>
  <si>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</si>
  <si>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</si>
  <si>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</si>
  <si>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</si>
  <si>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</si>
  <si>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</si>
  <si>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</si>
  <si>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</si>
  <si>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</si>
  <si>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</si>
  <si>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</si>
  <si>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</si>
  <si>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</si>
  <si>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</si>
  <si>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</si>
  <si>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</si>
  <si>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</si>
  <si>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</si>
  <si>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</si>
  <si>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</si>
  <si>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</si>
  <si>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</si>
  <si>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</si>
  <si>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</si>
  <si>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</si>
  <si>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</si>
  <si>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</si>
  <si>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</si>
  <si>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</si>
  <si>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</si>
  <si>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</si>
  <si>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</si>
  <si>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</si>
  <si>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</si>
  <si>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</si>
  <si>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</si>
  <si>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</si>
  <si>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</si>
  <si>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</si>
  <si>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</si>
  <si>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</si>
  <si>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</si>
  <si>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</si>
  <si>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</si>
  <si>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</si>
  <si>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</si>
  <si>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</si>
  <si>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</si>
  <si>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</si>
  <si>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</si>
  <si>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</si>
  <si>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</si>
  <si>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</si>
  <si>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</si>
  <si>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</si>
  <si>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</si>
  <si>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</si>
  <si>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</si>
  <si>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</si>
  <si>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</si>
  <si>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</si>
  <si>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</si>
  <si>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</si>
  <si>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</si>
  <si>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</si>
  <si>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</si>
  <si>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</si>
  <si>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</si>
  <si>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</si>
  <si>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</si>
  <si>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</si>
  <si>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</si>
  <si>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</si>
  <si>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</si>
  <si>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</si>
  <si>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</si>
  <si>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</si>
  <si>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</si>
  <si>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</si>
  <si>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</si>
  <si>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</si>
  <si>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</si>
  <si>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</si>
  <si>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</si>
  <si>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</si>
  <si>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</si>
  <si>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</si>
  <si>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</si>
  <si>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</si>
  <si>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</si>
  <si>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</si>
  <si>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</si>
  <si>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</si>
  <si>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</si>
  <si>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</si>
  <si>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</si>
  <si>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</si>
  <si>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</si>
  <si>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</si>
  <si>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</si>
  <si>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</si>
  <si>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</si>
  <si>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</si>
  <si>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</si>
  <si>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</si>
  <si>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</si>
  <si>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</si>
  <si>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</si>
  <si>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</si>
  <si>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</si>
  <si>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</si>
  <si>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</si>
  <si>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</si>
  <si>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</si>
  <si>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</si>
  <si>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</si>
  <si>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</si>
  <si>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</si>
  <si>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</si>
  <si>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</si>
  <si>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</si>
  <si>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</si>
  <si>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</si>
  <si>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</si>
  <si>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</si>
  <si>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</si>
  <si>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</si>
  <si>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</si>
  <si>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</si>
  <si>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</si>
  <si>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</si>
  <si>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</si>
  <si>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</si>
  <si>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</si>
  <si>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</si>
  <si>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</si>
  <si>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</si>
  <si>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</si>
  <si>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</si>
  <si>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</si>
  <si>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</si>
  <si>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</si>
  <si>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</si>
  <si>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</si>
  <si>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</si>
  <si>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</si>
  <si>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</si>
  <si>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</si>
  <si>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</si>
  <si>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</si>
  <si>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</si>
  <si>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</si>
  <si>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</si>
  <si>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</si>
  <si>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</si>
  <si>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</si>
  <si>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</si>
  <si>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</si>
  <si>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</si>
  <si>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</si>
  <si>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</si>
  <si>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</si>
  <si>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</si>
  <si>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</si>
  <si>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</si>
  <si>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</si>
  <si>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</si>
  <si>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</si>
  <si>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</si>
  <si>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</si>
  <si>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</si>
  <si>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</si>
  <si>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</si>
  <si>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</si>
  <si>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</si>
  <si>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</si>
  <si>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</si>
  <si>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</si>
  <si>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</si>
  <si>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</si>
  <si>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</si>
  <si>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</si>
  <si>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</si>
  <si>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</si>
  <si>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</si>
  <si>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</si>
  <si>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</si>
  <si>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</si>
  <si>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</si>
  <si>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</si>
  <si>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</si>
  <si>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</si>
  <si>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</si>
  <si>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</si>
  <si>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</si>
  <si>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</si>
  <si>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</si>
  <si>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</si>
  <si>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</si>
  <si>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</si>
  <si>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</si>
  <si>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</si>
  <si>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</si>
  <si>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</si>
  <si>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</si>
  <si>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</si>
  <si>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</si>
  <si>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</si>
  <si>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</si>
  <si>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</si>
  <si>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</si>
  <si>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</si>
  <si>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</si>
  <si>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</si>
  <si>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</si>
  <si>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</si>
  <si>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</si>
  <si>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</si>
  <si>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</si>
  <si>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</si>
  <si>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</si>
  <si>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</si>
  <si>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</si>
  <si>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</si>
  <si>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</si>
  <si>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</si>
  <si>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</si>
  <si>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</si>
  <si>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</si>
  <si>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</si>
  <si>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</si>
  <si>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</si>
  <si>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</si>
  <si>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</si>
  <si>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</si>
  <si>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</si>
  <si>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</si>
  <si>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</si>
  <si>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</si>
  <si>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</si>
  <si>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</si>
  <si>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</si>
  <si>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</si>
  <si>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</si>
  <si>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</si>
  <si>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</si>
  <si>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</si>
  <si>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</si>
  <si>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</si>
  <si>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</si>
  <si>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</si>
  <si>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</si>
  <si>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</si>
  <si>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</si>
  <si>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</si>
  <si>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</si>
  <si>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</si>
  <si>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</si>
  <si>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</si>
  <si>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</si>
  <si>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</si>
  <si>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</si>
  <si>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</si>
  <si>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</si>
  <si>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</si>
  <si>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</si>
  <si>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</si>
  <si>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</si>
  <si>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</si>
  <si>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</si>
  <si>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</si>
  <si>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</si>
  <si>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</si>
  <si>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</si>
  <si>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</si>
  <si>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</si>
  <si>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</si>
  <si>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</si>
  <si>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</si>
  <si>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</si>
  <si>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</si>
  <si>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</si>
  <si>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</si>
  <si>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</si>
  <si>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</si>
  <si>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</si>
  <si>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</si>
  <si>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</si>
  <si>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</si>
  <si>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</si>
  <si>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</si>
  <si>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</si>
  <si>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</si>
  <si>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</si>
  <si>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</si>
  <si>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</si>
  <si>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</si>
  <si>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</si>
  <si>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</si>
  <si>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</si>
  <si>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</si>
  <si>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</si>
  <si>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</si>
  <si>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</si>
  <si>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</si>
  <si>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</si>
  <si>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</si>
  <si>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</si>
  <si>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</si>
  <si>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</si>
  <si>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</si>
  <si>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</si>
  <si>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</si>
  <si>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</si>
  <si>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</si>
  <si>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</si>
  <si>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</si>
  <si>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</si>
  <si>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</si>
  <si>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</si>
  <si>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</si>
  <si>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</si>
  <si>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</si>
  <si>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</si>
  <si>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</si>
  <si>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</si>
  <si>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</si>
  <si>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</si>
  <si>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</si>
  <si>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</si>
  <si>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</si>
  <si>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</si>
  <si>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</si>
  <si>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</si>
  <si>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</si>
  <si>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</si>
  <si>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</si>
  <si>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</si>
  <si>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</si>
  <si>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</si>
  <si>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</si>
  <si>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</si>
  <si>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</si>
  <si>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</si>
  <si>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</si>
  <si>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</si>
  <si>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</si>
  <si>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</si>
  <si>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</si>
  <si>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</si>
  <si>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</si>
  <si>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</si>
  <si>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</si>
  <si>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</si>
  <si>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</si>
  <si>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</si>
  <si>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</si>
  <si>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</si>
  <si>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</si>
  <si>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</si>
  <si>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</si>
  <si>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</si>
  <si>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</si>
  <si>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</si>
  <si>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</si>
  <si>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</si>
  <si>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</si>
  <si>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</si>
  <si>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</si>
  <si>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</si>
  <si>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</si>
  <si>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</si>
  <si>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</si>
  <si>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</si>
  <si>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</si>
  <si>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</si>
  <si>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</si>
  <si>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</si>
  <si>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</si>
  <si>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</si>
  <si>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</si>
  <si>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</si>
  <si>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</si>
  <si>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</si>
  <si>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</si>
  <si>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</si>
  <si>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</si>
  <si>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</si>
  <si>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</si>
  <si>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</si>
  <si>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</si>
  <si>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</si>
  <si>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</si>
  <si>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</si>
  <si>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</si>
  <si>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</si>
  <si>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</si>
  <si>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</si>
  <si>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</si>
  <si>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</si>
  <si>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</si>
  <si>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</si>
  <si>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</si>
  <si>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</si>
  <si>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</si>
  <si>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</si>
  <si>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</si>
  <si>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</si>
  <si>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</si>
  <si>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</si>
  <si>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</si>
  <si>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</si>
  <si>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</si>
  <si>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</si>
  <si>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</si>
  <si>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</si>
  <si>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</si>
  <si>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</si>
  <si>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</si>
  <si>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</si>
  <si>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</si>
  <si>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</si>
  <si>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</si>
  <si>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</si>
  <si>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</si>
  <si>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</si>
  <si>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</si>
  <si>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</si>
  <si>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</si>
  <si>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</si>
  <si>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</si>
  <si>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</si>
  <si>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</si>
  <si>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</si>
  <si>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</si>
  <si>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</si>
  <si>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</si>
  <si>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</si>
  <si>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</si>
  <si>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</si>
  <si>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</si>
  <si>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</si>
  <si>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</si>
  <si>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</si>
  <si>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</si>
  <si>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</si>
  <si>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</si>
  <si>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</si>
  <si>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</si>
  <si>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</si>
  <si>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</si>
  <si>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</si>
  <si>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</si>
  <si>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</si>
  <si>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</si>
  <si>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</si>
  <si>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</si>
  <si>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</si>
  <si>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</si>
  <si>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</si>
  <si>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</si>
  <si>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</si>
  <si>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</si>
  <si>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</si>
  <si>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</si>
  <si>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</si>
  <si>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</si>
  <si>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</si>
  <si>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</si>
  <si>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</si>
  <si>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</si>
  <si>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</si>
  <si>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</si>
  <si>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</si>
  <si>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</si>
  <si>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</si>
  <si>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</si>
  <si>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</si>
  <si>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</si>
  <si>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</si>
  <si>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</si>
  <si>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</si>
  <si>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</si>
  <si>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</si>
  <si>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</si>
  <si>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</si>
  <si>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</si>
  <si>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</si>
  <si>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</si>
  <si>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</si>
  <si>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</si>
  <si>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</si>
  <si>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</si>
  <si>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</si>
  <si>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</si>
  <si>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</si>
  <si>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</si>
  <si>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</si>
  <si>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</si>
  <si>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</si>
  <si>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</si>
  <si>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</si>
  <si>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</si>
  <si>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</si>
  <si>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</si>
  <si>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</si>
  <si>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</si>
  <si>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</si>
  <si>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</si>
  <si>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</si>
  <si>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</si>
  <si>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</si>
  <si>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</si>
  <si>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</si>
  <si>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</si>
  <si>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</si>
  <si>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</si>
  <si>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</si>
  <si>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</si>
  <si>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</si>
  <si>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</si>
  <si>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</si>
  <si>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</si>
  <si>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</si>
  <si>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</si>
  <si>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</si>
  <si>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</si>
  <si>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</si>
  <si>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</si>
  <si>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</si>
  <si>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</si>
  <si>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</si>
  <si>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</si>
  <si>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</si>
  <si>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</si>
  <si>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</si>
  <si>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</si>
  <si>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</si>
  <si>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</si>
  <si>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</si>
  <si>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</si>
  <si>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</si>
  <si>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</si>
  <si>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</si>
  <si>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</si>
  <si>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</si>
  <si>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</si>
  <si>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</si>
  <si>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</si>
  <si>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</si>
  <si>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</si>
  <si>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</si>
  <si>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</si>
  <si>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</si>
  <si>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</si>
  <si>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</si>
  <si>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</si>
  <si>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</si>
  <si>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</si>
  <si>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</si>
  <si>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</si>
  <si>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</si>
  <si>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</si>
  <si>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</si>
  <si>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</si>
  <si>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</si>
  <si>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</si>
  <si>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</si>
  <si>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</si>
  <si>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</si>
  <si>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</si>
  <si>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</si>
  <si>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</si>
  <si>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</si>
  <si>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</si>
  <si>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</si>
  <si>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</si>
  <si>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</si>
  <si>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</si>
  <si>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</si>
  <si>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</si>
  <si>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</si>
  <si>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</si>
  <si>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</si>
  <si>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</si>
  <si>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</si>
  <si>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</si>
  <si>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</si>
  <si>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</si>
  <si>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</si>
  <si>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</si>
  <si>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</si>
  <si>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</si>
  <si>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</si>
  <si>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</si>
  <si>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</si>
  <si>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</si>
  <si>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</si>
  <si>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</si>
  <si>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</si>
  <si>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</si>
  <si>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</si>
  <si>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</si>
  <si>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</si>
  <si>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</si>
  <si>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</si>
  <si>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</si>
  <si>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</si>
  <si>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</si>
  <si>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</si>
  <si>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</si>
  <si>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</si>
  <si>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</si>
  <si>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</si>
  <si>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</si>
  <si>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</si>
  <si>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</si>
  <si>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</si>
  <si>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</si>
  <si>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</si>
  <si>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</si>
  <si>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</si>
  <si>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</si>
  <si>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</si>
  <si>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</si>
  <si>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</si>
  <si>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</si>
  <si>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</si>
  <si>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</si>
  <si>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</si>
  <si>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</si>
  <si>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</si>
  <si>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</si>
  <si>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</si>
  <si>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</si>
  <si>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</si>
  <si>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</si>
  <si>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</si>
  <si>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</si>
  <si>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</si>
  <si>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</si>
  <si>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</si>
  <si>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</si>
  <si>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</si>
  <si>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</si>
  <si>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</si>
  <si>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</si>
  <si>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</si>
  <si>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</si>
  <si>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</si>
  <si>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</si>
  <si>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</si>
  <si>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</si>
  <si>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</si>
  <si>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</si>
  <si>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</si>
  <si>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</si>
  <si>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</si>
  <si>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</si>
  <si>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</si>
  <si>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</si>
  <si>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</si>
  <si>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</si>
  <si>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</si>
  <si>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</si>
  <si>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</si>
  <si>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</si>
  <si>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</si>
  <si>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</si>
  <si>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</si>
  <si>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</si>
  <si>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</si>
  <si>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</si>
  <si>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</si>
  <si>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</si>
  <si>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</si>
  <si>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</si>
  <si>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</si>
  <si>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</si>
  <si>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</si>
  <si>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</si>
  <si>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</si>
  <si>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</si>
  <si>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</si>
  <si>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</si>
  <si>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</si>
  <si>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</si>
  <si>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</si>
  <si>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</si>
  <si>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</si>
  <si>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</si>
  <si>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</si>
  <si>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</si>
  <si>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</si>
  <si>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</si>
  <si>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</si>
  <si>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</si>
  <si>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</si>
  <si>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</si>
  <si>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</si>
  <si>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</si>
  <si>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</si>
  <si>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</si>
  <si>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</si>
  <si>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</si>
  <si>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</si>
  <si>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</si>
  <si>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</si>
  <si>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</si>
  <si>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</si>
  <si>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</si>
  <si>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</si>
  <si>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</si>
  <si>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</si>
  <si>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</si>
  <si>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</si>
  <si>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</si>
  <si>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</si>
  <si>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</si>
  <si>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</si>
  <si>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</si>
  <si>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</si>
  <si>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</si>
  <si>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</si>
  <si>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</si>
  <si>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</si>
  <si>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</si>
  <si>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</si>
  <si>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</si>
  <si>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</si>
  <si>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</si>
  <si>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</si>
  <si>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</si>
  <si>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</si>
  <si>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</si>
  <si>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</si>
  <si>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</si>
  <si>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</si>
  <si>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</si>
  <si>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</si>
  <si>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</si>
  <si>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</si>
  <si>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</si>
  <si>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</si>
  <si>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</si>
  <si>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</si>
  <si>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</si>
  <si>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</si>
  <si>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</si>
  <si>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</si>
  <si>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</si>
  <si>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</si>
  <si>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</si>
  <si>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</si>
  <si>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</si>
  <si>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</si>
  <si>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</si>
  <si>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</si>
  <si>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</si>
  <si>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</si>
  <si>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</si>
  <si>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</si>
  <si>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</si>
  <si>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</si>
  <si>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</si>
  <si>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</si>
  <si>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</si>
  <si>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</si>
  <si>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</si>
  <si>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</si>
  <si>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</si>
  <si>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</si>
  <si>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</si>
  <si>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</si>
  <si>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</si>
  <si>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</si>
  <si>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</si>
  <si>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</si>
  <si>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</si>
  <si>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</si>
  <si>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</si>
  <si>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</si>
  <si>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</si>
  <si>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</si>
  <si>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</si>
  <si>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</si>
  <si>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</si>
  <si>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</si>
  <si>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</si>
  <si>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</si>
  <si>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</si>
  <si>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</si>
  <si>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</si>
  <si>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</si>
  <si>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</si>
  <si>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</si>
  <si>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</si>
  <si>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</si>
  <si>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</si>
  <si>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</si>
  <si>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</si>
  <si>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</si>
  <si>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</si>
  <si>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</si>
  <si>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</si>
  <si>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</si>
  <si>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</si>
  <si>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</si>
  <si>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</si>
  <si>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</si>
  <si>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</si>
  <si>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</si>
  <si>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</si>
  <si>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</si>
  <si>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</si>
  <si>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</si>
  <si>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</si>
  <si>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</si>
  <si>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</si>
  <si>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</si>
  <si>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</si>
  <si>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</si>
  <si>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</si>
  <si>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</si>
  <si>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</si>
  <si>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</si>
  <si>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</si>
  <si>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</si>
  <si>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</si>
  <si>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</si>
  <si>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</si>
  <si>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</si>
  <si>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</si>
  <si>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</si>
  <si>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</si>
  <si>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</si>
  <si>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</si>
  <si>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</si>
  <si>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</si>
  <si>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</si>
  <si>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</si>
  <si>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</si>
  <si>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</si>
  <si>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</si>
  <si>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</si>
  <si>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</si>
  <si>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</si>
  <si>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</si>
  <si>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</si>
  <si>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</si>
  <si>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</si>
  <si>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</si>
  <si>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</si>
  <si>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</si>
  <si>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</si>
  <si>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</si>
  <si>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</si>
  <si>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</si>
  <si>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</si>
  <si>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</si>
  <si>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</si>
  <si>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</si>
  <si>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</si>
  <si>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</si>
  <si>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</si>
  <si>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</si>
  <si>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</si>
  <si>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</si>
  <si>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</si>
  <si>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</si>
  <si>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</si>
  <si>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</si>
  <si>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</si>
  <si>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</si>
  <si>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</si>
  <si>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</si>
  <si>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</si>
  <si>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</si>
  <si>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</si>
  <si>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</si>
  <si>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</si>
  <si>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</si>
  <si>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</si>
  <si>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</si>
  <si>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</si>
  <si>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</si>
  <si>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</si>
  <si>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</si>
  <si>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</si>
  <si>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</si>
  <si>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</si>
  <si>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</si>
  <si>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</si>
  <si>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</si>
  <si>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</si>
  <si>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</si>
  <si>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</si>
  <si>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</si>
  <si>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</si>
  <si>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</si>
  <si>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</si>
  <si>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</si>
  <si>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</si>
  <si>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</si>
  <si>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</si>
  <si>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</si>
  <si>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</si>
  <si>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</si>
  <si>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</si>
  <si>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</si>
  <si>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</si>
  <si>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</si>
  <si>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</si>
  <si>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</si>
  <si>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</si>
  <si>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</si>
  <si>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</si>
  <si>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</si>
  <si>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</si>
  <si>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</si>
  <si>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</si>
  <si>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</si>
  <si>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</si>
  <si>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</si>
  <si>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</si>
  <si>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</si>
  <si>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</si>
  <si>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</si>
  <si>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</si>
  <si>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</si>
  <si>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</si>
  <si>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</si>
  <si>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</si>
  <si>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</si>
  <si>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</si>
  <si>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</si>
  <si>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</si>
  <si>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</si>
  <si>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</si>
  <si>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</si>
  <si>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</si>
  <si>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</si>
  <si>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</si>
  <si>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</si>
  <si>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</si>
  <si>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</si>
  <si>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</si>
  <si>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</si>
  <si>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</si>
  <si>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</si>
  <si>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</si>
  <si>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</si>
  <si>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</si>
  <si>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</si>
  <si>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</si>
  <si>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</si>
  <si>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</si>
  <si>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</si>
  <si>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</si>
  <si>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</si>
  <si>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</si>
  <si>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</si>
  <si>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</si>
  <si>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</si>
  <si>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</si>
  <si>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</si>
  <si>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</si>
  <si>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</si>
  <si>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</si>
  <si>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</si>
  <si>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</si>
  <si>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</si>
  <si>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</si>
  <si>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</si>
  <si>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</si>
  <si>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</si>
  <si>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</si>
  <si>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</si>
  <si>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</si>
  <si>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</si>
  <si>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</si>
  <si>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</si>
  <si>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</si>
  <si>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</si>
  <si>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</si>
  <si>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</si>
  <si>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</si>
  <si>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</si>
  <si>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</si>
  <si>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</si>
  <si>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</si>
  <si>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</si>
  <si>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</si>
  <si>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</si>
  <si>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</si>
  <si>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</si>
  <si>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</si>
  <si>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</si>
  <si>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</si>
  <si>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</si>
  <si>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</si>
  <si>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</si>
  <si>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</si>
  <si>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</si>
  <si>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</si>
  <si>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</si>
  <si>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</si>
  <si>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</si>
  <si>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</si>
  <si>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</si>
  <si>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</si>
  <si>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</si>
  <si>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</si>
  <si>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</si>
  <si>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</si>
  <si>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</si>
  <si>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</si>
  <si>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</si>
  <si>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</si>
  <si>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</si>
  <si>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</si>
  <si>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</si>
  <si>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</si>
  <si>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</si>
  <si>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</si>
  <si>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</si>
  <si>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</si>
  <si>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</si>
  <si>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</si>
  <si>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</si>
  <si>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</si>
  <si>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</si>
  <si>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</si>
  <si>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</si>
  <si>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</si>
  <si>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</si>
  <si>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</si>
  <si>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</si>
  <si>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</si>
  <si>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</si>
  <si>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</si>
  <si>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</si>
  <si>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</si>
  <si>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</si>
  <si>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</si>
  <si>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</si>
  <si>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</si>
  <si>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</si>
  <si>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</si>
  <si>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</si>
  <si>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</si>
  <si>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</si>
  <si>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</si>
  <si>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</si>
  <si>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</si>
  <si>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</si>
  <si>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</si>
  <si>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</si>
  <si>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</si>
  <si>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</si>
  <si>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</si>
  <si>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</si>
  <si>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</si>
  <si>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</si>
  <si>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</si>
  <si>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</si>
  <si>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</si>
  <si>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</si>
  <si>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</si>
  <si>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</si>
  <si>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</si>
  <si>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</si>
  <si>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</si>
  <si>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</si>
  <si>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</si>
  <si>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</si>
  <si>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</si>
  <si>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</si>
  <si>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</si>
  <si>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</si>
  <si>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</si>
  <si>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</si>
  <si>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</si>
  <si>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</si>
  <si>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</si>
  <si>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</si>
  <si>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</si>
  <si>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</si>
  <si>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</si>
  <si>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</si>
  <si>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</si>
  <si>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</si>
  <si>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</si>
  <si>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</si>
  <si>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</si>
  <si>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</si>
  <si>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</si>
  <si>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</si>
  <si>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</si>
  <si>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</si>
  <si>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</si>
  <si>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</si>
  <si>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</si>
  <si>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</si>
  <si>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</si>
  <si>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</si>
  <si>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</si>
  <si>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</si>
  <si>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</si>
  <si>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</si>
  <si>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</si>
  <si>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</si>
  <si>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</si>
  <si>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</si>
  <si>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</si>
  <si>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</si>
  <si>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</si>
  <si>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</si>
  <si>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</si>
  <si>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</si>
  <si>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</si>
  <si>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</si>
  <si>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</si>
  <si>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</si>
  <si>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</si>
  <si>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</si>
  <si>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</si>
  <si>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</si>
  <si>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</si>
  <si>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</si>
  <si>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</si>
  <si>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</si>
  <si>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</si>
  <si>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</si>
  <si>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</si>
  <si>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</si>
  <si>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</si>
  <si>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</si>
  <si>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</si>
  <si>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</si>
  <si>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</si>
  <si>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</si>
  <si>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</si>
  <si>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</si>
  <si>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</si>
  <si>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</si>
  <si>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</si>
  <si>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</si>
  <si>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</si>
  <si>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</si>
  <si>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</si>
  <si>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</si>
  <si>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</si>
  <si>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</si>
  <si>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</si>
  <si>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</si>
  <si>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</si>
  <si>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</si>
  <si>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</si>
  <si>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</si>
  <si>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</si>
  <si>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</si>
  <si>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</si>
  <si>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</si>
  <si>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</si>
  <si>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</si>
  <si>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</si>
  <si>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</si>
  <si>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</si>
  <si>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</si>
  <si>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</si>
  <si>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</si>
  <si>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</si>
  <si>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</si>
  <si>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</si>
  <si>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</si>
  <si>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</si>
  <si>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</si>
  <si>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</si>
  <si>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</si>
  <si>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</si>
  <si>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</si>
  <si>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</si>
  <si>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</si>
  <si>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</si>
  <si>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</si>
  <si>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</si>
  <si>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</si>
  <si>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</si>
  <si>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</si>
  <si>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</si>
  <si>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</si>
  <si>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</si>
  <si>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</si>
  <si>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</si>
  <si>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</si>
  <si>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</si>
  <si>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</si>
  <si>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</si>
  <si>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</si>
  <si>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</si>
  <si>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</si>
  <si>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</si>
  <si>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</si>
  <si>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</si>
  <si>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</si>
  <si>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</si>
  <si>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</si>
  <si>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</si>
  <si>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</si>
  <si>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</si>
  <si>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</si>
  <si>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</si>
  <si>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</si>
  <si>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</si>
  <si>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</si>
  <si>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</si>
  <si>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</si>
  <si>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</si>
  <si>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</si>
  <si>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</si>
  <si>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</si>
  <si>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</si>
  <si>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</si>
  <si>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</si>
  <si>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</si>
  <si>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</si>
  <si>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</si>
  <si>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</si>
  <si>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</si>
  <si>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</si>
  <si>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</si>
  <si>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</si>
  <si>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</si>
  <si>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</si>
  <si>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</si>
  <si>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</si>
  <si>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</si>
  <si>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</si>
  <si>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</si>
  <si>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</si>
  <si>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</si>
  <si>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</si>
  <si>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</si>
  <si>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</si>
  <si>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</si>
  <si>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</si>
  <si>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</si>
  <si>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</si>
  <si>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</si>
  <si>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</si>
  <si>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</si>
  <si>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</si>
  <si>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</si>
  <si>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</si>
  <si>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</si>
  <si>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</si>
  <si>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</si>
  <si>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</si>
  <si>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</si>
  <si>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</si>
  <si>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</si>
  <si>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</si>
  <si>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</si>
  <si>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</si>
  <si>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</si>
  <si>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</si>
  <si>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</si>
  <si>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</si>
  <si>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</si>
  <si>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</si>
  <si>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</si>
  <si>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</si>
  <si>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</si>
  <si>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</si>
  <si>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</si>
  <si>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</si>
  <si>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</si>
  <si>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</si>
  <si>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</si>
  <si>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</si>
  <si>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</si>
  <si>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</si>
  <si>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</si>
  <si>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</si>
  <si>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</si>
  <si>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</si>
  <si>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</si>
  <si>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</si>
  <si>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</si>
  <si>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</si>
  <si>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</si>
  <si>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</si>
  <si>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</si>
  <si>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</si>
  <si>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</si>
  <si>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</si>
  <si>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</si>
  <si>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</si>
  <si>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</si>
  <si>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</si>
  <si>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</si>
  <si>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</si>
  <si>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</si>
  <si>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</si>
  <si>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</si>
  <si>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</si>
  <si>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</si>
  <si>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</si>
  <si>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</si>
  <si>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</si>
  <si>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</si>
  <si>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</si>
  <si>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</si>
  <si>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</si>
  <si>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</si>
  <si>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</si>
  <si>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</si>
  <si>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</si>
  <si>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</si>
  <si>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</si>
  <si>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</si>
  <si>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</si>
  <si>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</si>
  <si>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</si>
  <si>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</si>
  <si>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</si>
  <si>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</si>
  <si>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</si>
  <si>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</si>
  <si>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</si>
  <si>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</si>
  <si>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</si>
  <si>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</si>
  <si>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</si>
  <si>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</si>
  <si>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</si>
  <si>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</si>
  <si>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</si>
  <si>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</si>
  <si>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</si>
  <si>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</si>
  <si>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</si>
  <si>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</si>
  <si>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</si>
  <si>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</si>
  <si>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</si>
  <si>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</si>
  <si>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</si>
  <si>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</si>
  <si>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</si>
  <si>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</si>
  <si>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</si>
  <si>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</si>
  <si>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</si>
  <si>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</si>
  <si>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</si>
  <si>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</si>
  <si>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</si>
  <si>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</si>
  <si>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</si>
  <si>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</si>
  <si>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</si>
  <si>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</si>
  <si>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</si>
  <si>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</si>
  <si>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</si>
  <si>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</si>
  <si>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</si>
  <si>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</si>
  <si>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</si>
  <si>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</si>
  <si>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</si>
  <si>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</si>
  <si>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</si>
  <si>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</si>
  <si>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</si>
  <si>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</si>
  <si>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</si>
  <si>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</si>
  <si>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</si>
  <si>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</si>
  <si>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</si>
  <si>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</si>
  <si>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</si>
  <si>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</si>
  <si>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</si>
  <si>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</si>
  <si>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</si>
  <si>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</si>
  <si>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</si>
  <si>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</si>
  <si>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</si>
  <si>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</si>
  <si>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</si>
  <si>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</si>
  <si>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</si>
  <si>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</si>
  <si>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</si>
  <si>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</si>
  <si>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</si>
  <si>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</si>
  <si>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</si>
  <si>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</si>
  <si>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</si>
  <si>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</si>
  <si>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</si>
  <si>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</si>
  <si>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</si>
  <si>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</si>
  <si>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</si>
  <si>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</si>
  <si>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</si>
  <si>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</si>
  <si>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</si>
  <si>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</si>
  <si>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</si>
  <si>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</si>
  <si>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</si>
  <si>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</si>
  <si>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</si>
  <si>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</si>
  <si>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</si>
  <si>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</si>
  <si>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</si>
  <si>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</si>
  <si>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</si>
  <si>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</si>
  <si>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</si>
  <si>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</si>
  <si>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</si>
  <si>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</si>
  <si>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</si>
  <si>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</si>
  <si>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</si>
  <si>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</si>
  <si>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</si>
  <si>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</si>
  <si>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</si>
  <si>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</si>
  <si>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</si>
  <si>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</si>
  <si>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</si>
  <si>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</si>
  <si>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</si>
  <si>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</si>
  <si>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</si>
  <si>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</si>
  <si>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</si>
  <si>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</si>
  <si>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</si>
  <si>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</si>
  <si>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</si>
  <si>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</si>
  <si>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</si>
  <si>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</si>
  <si>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</si>
  <si>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</si>
  <si>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</si>
  <si>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</si>
  <si>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</si>
  <si>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</si>
  <si>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</si>
  <si>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</si>
  <si>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</si>
  <si>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</si>
  <si>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</si>
  <si>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</si>
  <si>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</si>
  <si>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</si>
  <si>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</si>
  <si>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</si>
  <si>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</si>
  <si>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</si>
  <si>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</si>
  <si>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</si>
  <si>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</si>
  <si>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</si>
  <si>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</si>
  <si>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</si>
  <si>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</si>
  <si>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</si>
  <si>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</si>
  <si>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</si>
  <si>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</si>
  <si>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</si>
  <si>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</si>
  <si>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</si>
  <si>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</si>
  <si>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</si>
  <si>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</si>
  <si>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</si>
  <si>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</si>
  <si>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</si>
  <si>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</si>
  <si>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</si>
  <si>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</si>
  <si>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</si>
  <si>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</si>
  <si>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</si>
  <si>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</si>
  <si>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</si>
  <si>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</si>
  <si>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</si>
  <si>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</si>
  <si>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</si>
  <si>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</si>
  <si>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</si>
  <si>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</si>
  <si>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</si>
  <si>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</si>
  <si>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</si>
  <si>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</si>
  <si>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</si>
  <si>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</si>
  <si>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</si>
  <si>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</si>
  <si>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</si>
  <si>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</si>
  <si>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</si>
  <si>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</si>
  <si>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</si>
  <si>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</si>
  <si>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</si>
  <si>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</si>
  <si>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</si>
  <si>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</si>
  <si>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</si>
  <si>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</si>
  <si>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</si>
  <si>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</si>
  <si>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</si>
  <si>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</si>
  <si>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</si>
  <si>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</si>
  <si>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</si>
  <si>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</si>
  <si>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</si>
  <si>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</si>
  <si>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</si>
  <si>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</si>
  <si>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</si>
  <si>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</si>
  <si>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</si>
  <si>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</si>
  <si>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</si>
  <si>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</si>
  <si>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</si>
  <si>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</si>
  <si>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</si>
  <si>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</si>
  <si>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</si>
  <si>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</si>
  <si>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</si>
  <si>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</si>
  <si>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</si>
  <si>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</si>
  <si>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</si>
  <si>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</si>
  <si>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</si>
  <si>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</si>
  <si>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</si>
  <si>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</si>
  <si>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</si>
  <si>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</si>
  <si>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</si>
  <si>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</si>
  <si>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</si>
  <si>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</si>
  <si>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</si>
  <si>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</si>
  <si>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</si>
  <si>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</si>
  <si>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</si>
  <si>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</si>
  <si>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</si>
  <si>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</si>
  <si>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</si>
  <si>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</si>
  <si>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</si>
  <si>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</si>
  <si>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</si>
  <si>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</si>
  <si>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</si>
  <si>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</si>
  <si>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</si>
  <si>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</si>
  <si>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</si>
  <si>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</si>
  <si>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</si>
  <si>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</si>
  <si>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</si>
  <si>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</si>
  <si>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</si>
  <si>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</si>
  <si>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</si>
  <si>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</si>
  <si>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</si>
  <si>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</si>
  <si>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</si>
  <si>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</si>
  <si>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</si>
  <si>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</si>
  <si>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</si>
  <si>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</si>
  <si>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</si>
  <si>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</si>
  <si>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</si>
  <si>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</si>
  <si>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</si>
  <si>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</si>
  <si>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</si>
  <si>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</si>
  <si>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</si>
  <si>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</si>
  <si>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</si>
  <si>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</si>
  <si>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</si>
  <si>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</si>
  <si>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</si>
  <si>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</si>
  <si>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</si>
  <si>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</si>
  <si>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</si>
  <si>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</si>
  <si>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</si>
  <si>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</si>
  <si>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</si>
  <si>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</si>
  <si>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</si>
  <si>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</si>
  <si>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</si>
  <si>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</si>
  <si>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</si>
  <si>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</si>
  <si>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</si>
  <si>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</si>
  <si>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</si>
  <si>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</si>
  <si>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</si>
  <si>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</si>
  <si>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</si>
  <si>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</si>
  <si>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</si>
  <si>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</si>
  <si>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</si>
  <si>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</si>
  <si>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</si>
  <si>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</si>
  <si>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</si>
  <si>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</si>
  <si>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</si>
  <si>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</si>
  <si>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</si>
  <si>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</si>
  <si>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</si>
  <si>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</si>
  <si>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</si>
  <si>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</si>
  <si>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</si>
  <si>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</si>
  <si>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</si>
  <si>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</si>
  <si>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</si>
  <si>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</si>
  <si>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</si>
  <si>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</si>
  <si>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</si>
  <si>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</si>
  <si>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</si>
  <si>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</si>
  <si>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</si>
  <si>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</si>
  <si>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</si>
  <si>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</si>
  <si>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</si>
  <si>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</si>
  <si>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</si>
  <si>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</si>
  <si>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</si>
  <si>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</si>
  <si>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</si>
  <si>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</si>
  <si>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</si>
  <si>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</si>
  <si>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</si>
  <si>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</si>
  <si>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</si>
  <si>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</si>
  <si>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</si>
  <si>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</si>
  <si>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</si>
  <si>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</si>
  <si>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</si>
  <si>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</si>
  <si>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</si>
  <si>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</si>
  <si>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</si>
  <si>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</si>
  <si>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</si>
  <si>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</si>
  <si>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</si>
  <si>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</si>
  <si>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</si>
  <si>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</si>
  <si>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</si>
  <si>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</si>
  <si>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</si>
  <si>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</si>
  <si>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</si>
  <si>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</si>
  <si>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</si>
  <si>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</si>
  <si>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</si>
  <si>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</si>
  <si>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</si>
  <si>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</si>
  <si>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</si>
  <si>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</si>
  <si>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</si>
  <si>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</si>
  <si>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</si>
  <si>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</si>
  <si>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</si>
  <si>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</si>
  <si>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</si>
  <si>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</si>
  <si>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</si>
  <si>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</si>
  <si>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</si>
  <si>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</si>
  <si>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</si>
  <si>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</si>
  <si>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</si>
  <si>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</si>
  <si>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</si>
  <si>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</si>
  <si>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</si>
  <si>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</si>
  <si>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</si>
  <si>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</si>
  <si>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</si>
  <si>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</si>
  <si>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</si>
  <si>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</si>
  <si>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</si>
  <si>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</si>
  <si>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</si>
  <si>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</si>
  <si>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</si>
  <si>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</si>
  <si>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</si>
  <si>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</si>
  <si>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</si>
  <si>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</si>
  <si>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</si>
  <si>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</si>
  <si>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</si>
  <si>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</si>
  <si>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</si>
  <si>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</si>
  <si>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</si>
  <si>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</si>
  <si>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</si>
  <si>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</si>
  <si>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</si>
  <si>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</si>
  <si>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</si>
  <si>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</si>
  <si>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</si>
  <si>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</si>
  <si>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</si>
  <si>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</si>
  <si>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</si>
  <si>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</si>
  <si>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</si>
  <si>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</si>
  <si>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</si>
  <si>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</si>
  <si>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</si>
  <si>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</si>
  <si>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</si>
  <si>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</si>
  <si>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</si>
  <si>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</si>
  <si>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</si>
  <si>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</si>
  <si>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</si>
  <si>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</si>
  <si>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</si>
  <si>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</si>
  <si>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</si>
  <si>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</si>
  <si>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</si>
  <si>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</si>
  <si>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</si>
  <si>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</si>
  <si>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</si>
  <si>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</si>
  <si>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</si>
  <si>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</si>
  <si>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</si>
  <si>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</si>
  <si>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</si>
  <si>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</si>
  <si>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</si>
  <si>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</si>
  <si>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</si>
  <si>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</si>
  <si>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</si>
  <si>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</si>
  <si>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</si>
  <si>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</si>
  <si>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</si>
  <si>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</si>
  <si>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</si>
  <si>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</si>
  <si>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</si>
  <si>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</si>
  <si>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</si>
  <si>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</si>
  <si>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</si>
  <si>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</si>
  <si>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</si>
  <si>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</si>
  <si>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</si>
  <si>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</si>
  <si>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</si>
  <si>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</si>
  <si>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</si>
  <si>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</si>
  <si>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</si>
  <si>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</si>
  <si>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</si>
  <si>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</si>
  <si>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</si>
  <si>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</si>
  <si>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</si>
  <si>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</si>
  <si>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</si>
  <si>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</si>
  <si>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</si>
  <si>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</si>
  <si>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</si>
  <si>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</si>
  <si>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</si>
  <si>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</si>
  <si>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</si>
  <si>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</si>
  <si>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</si>
  <si>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</si>
  <si>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</si>
  <si>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</si>
  <si>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</si>
  <si>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</si>
  <si>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</si>
  <si>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</si>
  <si>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</si>
  <si>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</si>
  <si>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</si>
  <si>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</si>
  <si>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</si>
  <si>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</si>
  <si>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</si>
  <si>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</si>
  <si>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</si>
  <si>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</si>
  <si>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</si>
  <si>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</si>
  <si>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</si>
  <si>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</si>
  <si>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</si>
  <si>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</si>
  <si>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</si>
  <si>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</si>
  <si>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</si>
  <si>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</si>
  <si>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</si>
  <si>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</si>
  <si>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</si>
  <si>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</si>
  <si>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</si>
  <si>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</si>
  <si>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</si>
  <si>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</si>
  <si>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</si>
  <si>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</si>
  <si>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</si>
  <si>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</si>
  <si>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</si>
  <si>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</si>
  <si>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</si>
  <si>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</si>
  <si>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</si>
  <si>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</si>
  <si>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</si>
  <si>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</si>
  <si>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</si>
  <si>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</si>
  <si>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</si>
  <si>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</si>
  <si>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</si>
  <si>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</si>
  <si>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</si>
  <si>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</si>
  <si>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</si>
  <si>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</si>
  <si>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</si>
  <si>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</si>
  <si>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</si>
  <si>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</si>
  <si>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</si>
  <si>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</si>
  <si>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</si>
  <si>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</si>
  <si>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</si>
  <si>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</si>
  <si>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</si>
  <si>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</si>
  <si>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</si>
  <si>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</si>
  <si>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</si>
  <si>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</si>
  <si>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</si>
  <si>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</si>
  <si>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</si>
  <si>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</si>
  <si>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</si>
  <si>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</si>
  <si>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</si>
  <si>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</si>
  <si>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</si>
  <si>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</si>
  <si>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</si>
  <si>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</si>
  <si>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</si>
  <si>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</si>
  <si>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</si>
  <si>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</si>
  <si>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</si>
  <si>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</si>
  <si>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</si>
  <si>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</si>
  <si>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</si>
  <si>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</si>
  <si>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</si>
  <si>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</si>
  <si>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</si>
  <si>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</si>
  <si>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</si>
  <si>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</si>
  <si>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</si>
  <si>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</si>
  <si>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</si>
  <si>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</si>
  <si>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</si>
  <si>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</si>
  <si>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</si>
  <si>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</si>
  <si>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</si>
  <si>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</si>
  <si>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</si>
  <si>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</si>
  <si>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</si>
  <si>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</si>
  <si>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</si>
  <si>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</si>
  <si>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</si>
  <si>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</si>
  <si>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</si>
  <si>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</si>
  <si>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</si>
  <si>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</si>
  <si>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</si>
  <si>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</si>
  <si>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</si>
  <si>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</si>
  <si>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</si>
  <si>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</si>
  <si>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</si>
  <si>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</si>
  <si>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</si>
  <si>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</si>
  <si>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</si>
  <si>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</si>
  <si>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</si>
  <si>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</si>
  <si>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</si>
  <si>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</si>
  <si>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</si>
  <si>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</si>
  <si>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</si>
  <si>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</si>
  <si>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</si>
  <si>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</si>
  <si>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</si>
  <si>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</si>
  <si>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</si>
  <si>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</si>
  <si>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</si>
  <si>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</si>
  <si>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</si>
  <si>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</si>
  <si>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</si>
  <si>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</si>
  <si>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</si>
  <si>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</si>
  <si>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</si>
  <si>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</si>
  <si>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</si>
  <si>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</si>
  <si>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</si>
  <si>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</si>
  <si>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</si>
  <si>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</si>
  <si>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</si>
  <si>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</si>
  <si>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</si>
  <si>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</si>
  <si>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</si>
  <si>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</si>
  <si>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</si>
  <si>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</si>
  <si>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</si>
  <si>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</si>
  <si>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</si>
  <si>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</si>
  <si>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</si>
  <si>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</si>
  <si>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</si>
  <si>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</si>
  <si>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</si>
  <si>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</si>
  <si>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</si>
  <si>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</si>
  <si>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</si>
  <si>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</si>
  <si>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</si>
  <si>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</si>
  <si>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</si>
  <si>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</si>
  <si>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</si>
  <si>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</si>
  <si>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</si>
  <si>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</si>
  <si>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</si>
  <si>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</si>
  <si>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</si>
  <si>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</si>
  <si>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</si>
  <si>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</si>
  <si>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</si>
  <si>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</si>
  <si>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</si>
  <si>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</si>
  <si>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</si>
  <si>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</si>
  <si>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</si>
  <si>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</si>
  <si>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</si>
  <si>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</si>
  <si>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</si>
  <si>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</si>
  <si>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</si>
  <si>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</si>
  <si>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</si>
  <si>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</si>
  <si>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</si>
  <si>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</si>
  <si>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</si>
  <si>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</si>
  <si>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</si>
  <si>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</si>
  <si>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</si>
  <si>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</si>
  <si>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</si>
  <si>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</si>
  <si>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</si>
  <si>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</si>
  <si>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</si>
  <si>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</si>
  <si>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</si>
  <si>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</si>
  <si>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</si>
  <si>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</si>
  <si>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</si>
  <si>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</si>
  <si>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</si>
  <si>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</si>
  <si>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</si>
  <si>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</si>
  <si>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</si>
  <si>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</si>
  <si>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</si>
  <si>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</si>
  <si>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</si>
  <si>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</si>
  <si>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</si>
  <si>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</si>
  <si>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</si>
  <si>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</si>
  <si>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</si>
  <si>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</si>
  <si>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</si>
  <si>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</si>
  <si>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</si>
  <si>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</si>
  <si>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</si>
  <si>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</si>
  <si>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</si>
  <si>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</si>
  <si>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</si>
  <si>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</si>
  <si>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</si>
  <si>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</si>
  <si>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</si>
  <si>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</si>
  <si>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</si>
  <si>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</si>
  <si>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</si>
  <si>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</si>
  <si>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</si>
  <si>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</si>
  <si>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</si>
  <si>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</si>
  <si>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</si>
  <si>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</si>
  <si>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</si>
  <si>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</si>
  <si>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</si>
  <si>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</si>
  <si>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</si>
  <si>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</si>
  <si>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</si>
  <si>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</si>
  <si>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</si>
  <si>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</si>
  <si>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</si>
  <si>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</si>
  <si>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</si>
  <si>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</si>
  <si>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</si>
  <si>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</si>
  <si>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</si>
  <si>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</si>
  <si>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</si>
  <si>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</si>
  <si>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</si>
  <si>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</si>
  <si>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</si>
  <si>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</si>
  <si>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</si>
  <si>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</si>
  <si>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</si>
  <si>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</si>
  <si>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</si>
  <si>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</si>
  <si>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</si>
  <si>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</si>
  <si>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</si>
  <si>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</si>
  <si>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</si>
  <si>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</si>
  <si>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</si>
  <si>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</si>
  <si>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</si>
  <si>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</si>
  <si>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</si>
  <si>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</si>
  <si>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</si>
  <si>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</si>
  <si>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</si>
  <si>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</si>
  <si>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</si>
  <si>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</si>
  <si>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</si>
  <si>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</si>
  <si>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</si>
  <si>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</si>
  <si>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</si>
  <si>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</si>
  <si>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</si>
  <si>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</si>
  <si>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</si>
  <si>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</si>
  <si>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</si>
  <si>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</si>
  <si>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</si>
  <si>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</si>
  <si>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</si>
  <si>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</si>
  <si>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</si>
  <si>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</si>
  <si>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</si>
  <si>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</si>
  <si>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</si>
  <si>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</si>
  <si>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</si>
  <si>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</si>
  <si>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</si>
  <si>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</si>
  <si>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</si>
  <si>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</si>
  <si>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</si>
  <si>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</si>
  <si>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</si>
  <si>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</si>
  <si>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</si>
  <si>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</si>
  <si>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</si>
  <si>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</si>
  <si>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</si>
  <si>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</si>
  <si>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</si>
  <si>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</si>
  <si>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</si>
  <si>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</si>
  <si>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</si>
  <si>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</si>
  <si>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</si>
  <si>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</si>
  <si>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</si>
  <si>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</si>
  <si>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</si>
  <si>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</si>
  <si>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</si>
  <si>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</si>
  <si>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</si>
  <si>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</si>
  <si>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</si>
  <si>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</si>
  <si>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</si>
  <si>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</si>
  <si>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</si>
  <si>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</si>
  <si>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</si>
  <si>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</si>
  <si>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</si>
  <si>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</si>
  <si>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</si>
  <si>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</si>
  <si>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</si>
  <si>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</si>
  <si>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</si>
  <si>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</si>
  <si>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</si>
  <si>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</si>
  <si>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</si>
  <si>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</si>
  <si>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</si>
  <si>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</si>
  <si>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</si>
  <si>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</si>
  <si>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</si>
  <si>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</si>
  <si>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</si>
  <si>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</si>
  <si>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</si>
  <si>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</si>
  <si>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</si>
  <si>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</si>
  <si>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</si>
  <si>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</si>
  <si>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</si>
  <si>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</si>
  <si>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</si>
  <si>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</si>
  <si>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</si>
  <si>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</si>
  <si>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</si>
  <si>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</si>
  <si>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</si>
  <si>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</si>
  <si>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</si>
  <si>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</si>
  <si>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</si>
  <si>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</si>
  <si>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</si>
  <si>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</si>
  <si>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</si>
  <si>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</si>
  <si>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</si>
  <si>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</si>
  <si>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</si>
  <si>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</si>
  <si>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</si>
  <si>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</si>
  <si>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</si>
  <si>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</si>
  <si>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</si>
  <si>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</si>
  <si>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</si>
  <si>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</si>
  <si>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</si>
  <si>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</si>
  <si>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</si>
  <si>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</si>
  <si>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</si>
  <si>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</si>
  <si>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</si>
  <si>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</si>
  <si>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</si>
  <si>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</si>
  <si>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</si>
  <si>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</si>
  <si>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</si>
  <si>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</si>
  <si>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</si>
  <si>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</si>
  <si>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</si>
  <si>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</si>
  <si>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</si>
  <si>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</si>
  <si>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</si>
  <si>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</si>
  <si>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</si>
  <si>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</si>
  <si>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</si>
  <si>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</si>
  <si>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</si>
  <si>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</si>
  <si>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</si>
  <si>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</si>
  <si>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</si>
  <si>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</si>
  <si>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</si>
  <si>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</si>
  <si>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</si>
  <si>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</si>
  <si>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</si>
  <si>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</si>
  <si>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</si>
  <si>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</si>
  <si>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</si>
  <si>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</si>
  <si>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</si>
  <si>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</si>
  <si>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</si>
  <si>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</si>
  <si>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</si>
  <si>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</si>
  <si>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</si>
  <si>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</si>
  <si>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</si>
  <si>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</si>
  <si>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</si>
  <si>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</si>
  <si>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</si>
  <si>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</si>
  <si>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</si>
  <si>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</si>
  <si>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</si>
  <si>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</si>
  <si>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</si>
  <si>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</si>
  <si>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</si>
  <si>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</si>
  <si>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</si>
  <si>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</si>
  <si>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</si>
  <si>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</si>
  <si>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</si>
  <si>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</si>
  <si>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</si>
  <si>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</si>
  <si>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</si>
  <si>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</si>
  <si>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</si>
  <si>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</si>
  <si>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</si>
  <si>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</si>
  <si>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</si>
  <si>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</si>
  <si>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</si>
  <si>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</si>
  <si>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</si>
  <si>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</si>
  <si>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</si>
  <si>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</si>
  <si>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</si>
  <si>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</si>
  <si>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</si>
  <si>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</si>
  <si>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</si>
  <si>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</si>
  <si>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</si>
  <si>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</si>
  <si>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</si>
  <si>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</si>
  <si>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</si>
  <si>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</si>
  <si>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</si>
  <si>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</si>
  <si>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</si>
  <si>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</si>
  <si>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</si>
  <si>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</si>
  <si>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</si>
  <si>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</si>
  <si>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</si>
  <si>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</si>
  <si>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</si>
  <si>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</si>
  <si>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</si>
  <si>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</si>
  <si>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</si>
  <si>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</si>
  <si>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</si>
  <si>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</si>
  <si>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</si>
  <si>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</si>
  <si>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</si>
  <si>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</si>
  <si>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</si>
  <si>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</si>
  <si>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</si>
  <si>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</si>
  <si>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</si>
  <si>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</si>
  <si>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</si>
  <si>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</si>
  <si>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</si>
  <si>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</si>
  <si>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</si>
  <si>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</si>
  <si>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</si>
  <si>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</si>
  <si>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</si>
  <si>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</si>
  <si>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</si>
  <si>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</si>
  <si>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</si>
  <si>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</si>
  <si>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</si>
  <si>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</si>
  <si>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</si>
  <si>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</si>
  <si>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</si>
  <si>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</si>
  <si>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</si>
  <si>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</si>
  <si>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</si>
  <si>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</si>
  <si>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</si>
  <si>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</si>
  <si>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</si>
  <si>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</si>
  <si>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</si>
  <si>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</si>
  <si>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</si>
  <si>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</si>
  <si>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</si>
  <si>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</si>
  <si>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</si>
  <si>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</si>
  <si>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</si>
  <si>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</si>
  <si>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</si>
  <si>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</si>
  <si>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</si>
  <si>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</si>
  <si>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</si>
  <si>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</si>
  <si>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</si>
  <si>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</si>
  <si>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</si>
  <si>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</si>
  <si>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</si>
  <si>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</si>
  <si>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</si>
  <si>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</si>
  <si>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</si>
  <si>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</si>
  <si>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</si>
  <si>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</si>
  <si>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</si>
  <si>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</si>
  <si>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</si>
  <si>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</si>
  <si>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</si>
  <si>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</si>
  <si>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</si>
  <si>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</si>
  <si>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</si>
  <si>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</si>
  <si>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</si>
  <si>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</si>
  <si>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</si>
  <si>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</si>
  <si>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</si>
  <si>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</si>
  <si>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</si>
  <si>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</si>
  <si>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</si>
  <si>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</si>
  <si>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</si>
  <si>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</si>
  <si>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</si>
  <si>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</si>
  <si>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</si>
  <si>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</si>
  <si>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</si>
  <si>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</si>
  <si>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</si>
  <si>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</si>
  <si>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</si>
  <si>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</si>
  <si>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</si>
  <si>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</si>
  <si>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</si>
  <si>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</si>
  <si>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</si>
  <si>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</si>
  <si>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</si>
  <si>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</si>
  <si>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</si>
  <si>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</si>
  <si>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</si>
  <si>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</si>
  <si>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</si>
  <si>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</si>
  <si>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</si>
  <si>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</si>
  <si>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</si>
  <si>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</si>
  <si>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</si>
  <si>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</si>
  <si>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</si>
  <si>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</si>
  <si>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</si>
  <si>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</si>
  <si>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</si>
  <si>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</si>
  <si>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</si>
  <si>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</si>
  <si>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</si>
  <si>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</si>
  <si>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</si>
  <si>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</si>
  <si>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</si>
  <si>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</si>
  <si>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</si>
  <si>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</si>
  <si>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</si>
  <si>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</si>
  <si>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</si>
  <si>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</si>
  <si>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</si>
  <si>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</si>
  <si>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</si>
  <si>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</si>
  <si>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</si>
  <si>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</si>
  <si>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</si>
  <si>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</si>
  <si>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</si>
  <si>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</si>
  <si>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</si>
  <si>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</si>
  <si>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</si>
  <si>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</si>
  <si>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</si>
  <si>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</si>
  <si>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</si>
  <si>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</si>
  <si>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</si>
  <si>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</si>
  <si>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</si>
  <si>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</si>
  <si>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</si>
  <si>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</si>
  <si>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</si>
  <si>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</si>
  <si>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</si>
  <si>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</si>
  <si>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</si>
  <si>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</si>
  <si>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</si>
  <si>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</si>
  <si>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</si>
  <si>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</si>
  <si>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</si>
  <si>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</si>
  <si>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</si>
  <si>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</si>
  <si>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</si>
  <si>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</si>
  <si>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</si>
  <si>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</si>
  <si>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</si>
  <si>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</si>
  <si>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</si>
  <si>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</si>
  <si>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</si>
  <si>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</si>
  <si>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</si>
  <si>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</si>
  <si>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</si>
  <si>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</si>
  <si>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</si>
  <si>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</si>
  <si>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</si>
  <si>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</si>
  <si>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</si>
  <si>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</si>
  <si>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</si>
  <si>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</si>
  <si>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</si>
  <si>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</si>
  <si>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</si>
  <si>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</si>
  <si>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</si>
  <si>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</si>
  <si>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</si>
  <si>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</si>
  <si>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</si>
  <si>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</si>
  <si>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</si>
  <si>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</si>
  <si>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</si>
  <si>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</si>
  <si>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</si>
  <si>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</si>
  <si>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</si>
  <si>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</si>
  <si>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</si>
  <si>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</si>
  <si>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</si>
  <si>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</si>
  <si>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</si>
  <si>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</si>
  <si>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</si>
  <si>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</si>
  <si>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</si>
  <si>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</si>
  <si>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</si>
  <si>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</si>
  <si>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</si>
  <si>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</si>
  <si>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</si>
  <si>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</si>
  <si>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</si>
  <si>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</si>
  <si>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</si>
  <si>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</si>
  <si>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</si>
  <si>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</si>
  <si>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</si>
  <si>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</si>
  <si>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</si>
  <si>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</si>
  <si>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</si>
  <si>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</si>
  <si>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</si>
  <si>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</si>
  <si>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</si>
  <si>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</si>
  <si>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</si>
  <si>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</si>
  <si>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</si>
  <si>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</si>
  <si>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</si>
  <si>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</si>
  <si>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</si>
  <si>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</si>
  <si>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</si>
  <si>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</si>
  <si>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</si>
  <si>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</si>
  <si>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</si>
  <si>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</si>
  <si>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</si>
  <si>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</si>
  <si>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</si>
  <si>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</si>
  <si>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</si>
  <si>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</si>
  <si>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</si>
  <si>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</si>
  <si>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</si>
  <si>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</si>
  <si>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</si>
  <si>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</si>
  <si>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</si>
  <si>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</si>
  <si>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</si>
  <si>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</si>
  <si>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</si>
  <si>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</si>
  <si>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</si>
  <si>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</si>
  <si>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</si>
  <si>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</si>
  <si>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</si>
  <si>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</si>
  <si>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</si>
  <si>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</si>
  <si>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</si>
  <si>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</si>
  <si>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</si>
  <si>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</si>
  <si>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</si>
  <si>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</si>
  <si>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</si>
  <si>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</si>
  <si>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</si>
  <si>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</si>
  <si>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</si>
  <si>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</si>
  <si>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</si>
  <si>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</si>
  <si>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</si>
  <si>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</si>
  <si>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</si>
  <si>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</si>
  <si>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</si>
  <si>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</si>
  <si>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</si>
  <si>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</si>
  <si>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</si>
  <si>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</si>
  <si>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</si>
  <si>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</si>
  <si>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</si>
  <si>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</si>
  <si>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</si>
  <si>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</si>
  <si>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</si>
  <si>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</si>
  <si>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</si>
  <si>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</si>
  <si>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</si>
  <si>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</si>
  <si>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</si>
  <si>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</si>
  <si>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</si>
  <si>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</si>
  <si>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</si>
  <si>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</si>
  <si>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</si>
  <si>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</si>
  <si>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</si>
  <si>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</si>
  <si>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</si>
  <si>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</si>
  <si>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</si>
  <si>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</si>
  <si>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</si>
  <si>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</si>
  <si>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</si>
  <si>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</si>
  <si>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</si>
  <si>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</si>
  <si>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</si>
  <si>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</si>
  <si>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</si>
  <si>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</si>
  <si>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</si>
  <si>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</si>
  <si>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</si>
  <si>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</si>
  <si>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</si>
  <si>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</si>
  <si>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</si>
  <si>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</si>
  <si>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</si>
  <si>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</si>
  <si>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</si>
  <si>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</si>
  <si>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</si>
  <si>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</si>
  <si>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</si>
  <si>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</si>
  <si>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</si>
  <si>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</si>
  <si>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</si>
  <si>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</si>
  <si>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</si>
  <si>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</si>
  <si>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</si>
  <si>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</si>
  <si>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</si>
  <si>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</si>
  <si>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</si>
  <si>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</si>
  <si>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</si>
  <si>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</si>
  <si>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</si>
  <si>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</si>
  <si>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</si>
  <si>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</si>
  <si>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</si>
  <si>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</si>
  <si>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</si>
  <si>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</si>
  <si>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</si>
  <si>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</si>
  <si>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</si>
  <si>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</si>
  <si>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</si>
  <si>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</si>
  <si>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</si>
  <si>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</si>
  <si>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</si>
  <si>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</si>
  <si>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</si>
  <si>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</si>
  <si>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</si>
  <si>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</si>
  <si>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</si>
  <si>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</si>
  <si>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</si>
  <si>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</si>
  <si>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</si>
  <si>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</si>
  <si>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</si>
  <si>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</si>
  <si>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</si>
  <si>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</si>
  <si>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</si>
  <si>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</si>
  <si>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</si>
  <si>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</si>
  <si>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</si>
  <si>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</si>
  <si>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</si>
  <si>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</si>
  <si>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</si>
  <si>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</si>
  <si>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</si>
  <si>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</si>
  <si>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</si>
  <si>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</si>
  <si>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</si>
  <si>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</si>
  <si>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</si>
  <si>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</si>
  <si>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</si>
  <si>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</si>
  <si>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</si>
  <si>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</si>
  <si>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</si>
  <si>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</si>
  <si>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</si>
  <si>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</si>
  <si>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</si>
  <si>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</si>
  <si>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</si>
  <si>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</si>
  <si>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</si>
  <si>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</si>
  <si>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</si>
  <si>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</si>
  <si>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</si>
  <si>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</si>
  <si>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</si>
  <si>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</si>
  <si>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</si>
  <si>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</si>
  <si>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</si>
  <si>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</si>
  <si>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</si>
  <si>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</si>
  <si>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</si>
  <si>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</si>
  <si>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</si>
  <si>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</si>
  <si>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</si>
  <si>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</si>
  <si>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</si>
  <si>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</si>
  <si>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</si>
  <si>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</si>
  <si>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</si>
  <si>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</si>
  <si>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</si>
  <si>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</si>
  <si>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</si>
  <si>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</si>
  <si>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</si>
  <si>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</si>
  <si>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</si>
  <si>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</si>
  <si>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</si>
  <si>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</si>
  <si>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</si>
  <si>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</si>
  <si>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</si>
  <si>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</si>
  <si>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</si>
  <si>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</si>
  <si>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</si>
  <si>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</si>
  <si>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</si>
  <si>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</si>
  <si>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</si>
  <si>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</si>
  <si>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</si>
  <si>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</si>
  <si>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</si>
  <si>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</si>
  <si>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</si>
  <si>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</si>
  <si>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</si>
  <si>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</si>
  <si>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</si>
  <si>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</si>
  <si>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</si>
  <si>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</si>
  <si>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</si>
  <si>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</si>
  <si>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</si>
  <si>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</si>
  <si>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</si>
  <si>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</si>
  <si>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</si>
  <si>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</si>
  <si>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</si>
  <si>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</si>
  <si>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</si>
  <si>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</si>
  <si>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</si>
  <si>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</si>
  <si>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</si>
  <si>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</si>
  <si>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</si>
  <si>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</si>
  <si>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</si>
  <si>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</si>
  <si>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</si>
  <si>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</si>
  <si>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</si>
  <si>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</si>
  <si>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</si>
  <si>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</si>
  <si>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</si>
  <si>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</si>
  <si>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</si>
  <si>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</si>
  <si>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</si>
  <si>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</si>
  <si>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</si>
  <si>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</si>
  <si>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</si>
  <si>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</si>
  <si>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</si>
  <si>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</si>
  <si>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</si>
  <si>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</si>
  <si>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</si>
  <si>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</si>
  <si>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</si>
  <si>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</si>
  <si>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</si>
  <si>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</si>
  <si>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</si>
  <si>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</si>
  <si>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</si>
  <si>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</si>
  <si>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</si>
  <si>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</si>
  <si>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</si>
  <si>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</si>
  <si>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</si>
  <si>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</si>
  <si>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</si>
  <si>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</si>
  <si>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</si>
  <si>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</si>
  <si>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</si>
  <si>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</si>
  <si>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</si>
  <si>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</si>
  <si>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</si>
  <si>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</si>
  <si>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</si>
  <si>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</si>
  <si>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</si>
  <si>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</si>
  <si>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</si>
  <si>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</si>
  <si>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</si>
  <si>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</si>
  <si>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</si>
  <si>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</si>
  <si>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</si>
  <si>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</si>
  <si>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</si>
  <si>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</si>
  <si>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</si>
  <si>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</si>
  <si>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</si>
  <si>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</si>
  <si>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</si>
  <si>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</si>
  <si>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</si>
  <si>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</si>
  <si>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</si>
  <si>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</si>
  <si>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</si>
  <si>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</si>
  <si>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</si>
  <si>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</si>
  <si>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</si>
  <si>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</si>
  <si>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</si>
  <si>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</si>
  <si>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</si>
  <si>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</si>
  <si>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</si>
  <si>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</si>
  <si>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</si>
  <si>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</si>
  <si>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</si>
  <si>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</si>
  <si>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</si>
  <si>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</si>
  <si>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</si>
  <si>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</si>
  <si>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</si>
  <si>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</si>
  <si>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</si>
  <si>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</si>
  <si>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</si>
  <si>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</si>
  <si>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</si>
  <si>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</si>
  <si>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</si>
  <si>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</si>
  <si>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</si>
  <si>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</si>
  <si>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</si>
  <si>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</si>
  <si>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</si>
  <si>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</si>
  <si>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</si>
  <si>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</si>
  <si>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</si>
  <si>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</si>
  <si>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</si>
  <si>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</si>
  <si>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</si>
  <si>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</si>
  <si>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</si>
  <si>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</si>
  <si>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</si>
  <si>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</si>
  <si>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</si>
  <si>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</si>
  <si>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</si>
  <si>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</si>
  <si>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</si>
  <si>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</si>
  <si>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</si>
  <si>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</si>
  <si>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</si>
  <si>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</si>
  <si>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</si>
  <si>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</si>
  <si>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</si>
  <si>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</si>
  <si>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</si>
  <si>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</si>
  <si>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</si>
  <si>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</si>
  <si>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</si>
  <si>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</si>
  <si>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</si>
  <si>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</si>
  <si>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</si>
  <si>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</si>
  <si>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</si>
  <si>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</si>
  <si>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</si>
  <si>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</si>
  <si>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</si>
  <si>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</si>
  <si>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</si>
  <si>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</si>
  <si>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</si>
  <si>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</si>
  <si>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</si>
  <si>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</si>
  <si>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</si>
  <si>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</si>
  <si>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</si>
  <si>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</si>
  <si>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</si>
  <si>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</si>
  <si>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</si>
  <si>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</si>
  <si>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</si>
  <si>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</si>
  <si>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</si>
  <si>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</si>
  <si>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</si>
  <si>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</si>
  <si>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</si>
  <si>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</si>
  <si>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</si>
  <si>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</si>
  <si>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</si>
  <si>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</si>
  <si>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</si>
  <si>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</si>
  <si>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</si>
  <si>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</si>
  <si>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</si>
  <si>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</si>
  <si>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</si>
  <si>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</si>
  <si>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</si>
  <si>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</si>
  <si>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</si>
  <si>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</si>
  <si>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</si>
  <si>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</si>
  <si>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</si>
  <si>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</si>
  <si>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</si>
  <si>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</si>
  <si>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</si>
  <si>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</si>
  <si>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</si>
  <si>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</si>
  <si>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</si>
  <si>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</si>
  <si>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</si>
  <si>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</si>
  <si>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</si>
  <si>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</si>
  <si>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</si>
  <si>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</si>
  <si>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</si>
  <si>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</si>
  <si>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</si>
  <si>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</si>
  <si>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</si>
  <si>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</si>
  <si>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</si>
  <si>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</si>
  <si>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</si>
  <si>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</si>
  <si>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</si>
  <si>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</si>
  <si>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</si>
  <si>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</si>
  <si>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</si>
  <si>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</si>
  <si>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</si>
  <si>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</si>
  <si>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</si>
  <si>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</si>
  <si>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</si>
  <si>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</si>
  <si>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</si>
  <si>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</si>
  <si>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</si>
  <si>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</si>
  <si>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</si>
  <si>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</si>
  <si>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</si>
  <si>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</si>
  <si>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</si>
  <si>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</si>
  <si>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</si>
  <si>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</si>
  <si>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</si>
  <si>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</si>
  <si>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</si>
  <si>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</si>
  <si>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</si>
  <si>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</si>
  <si>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</si>
  <si>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</si>
  <si>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</si>
  <si>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</si>
  <si>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</si>
  <si>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</si>
  <si>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</si>
  <si>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</si>
  <si>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</si>
  <si>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</si>
  <si>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</si>
  <si>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</si>
  <si>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</si>
  <si>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</si>
  <si>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</si>
  <si>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</si>
  <si>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</si>
  <si>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</si>
  <si>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</si>
  <si>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</si>
  <si>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</si>
  <si>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</si>
  <si>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</si>
  <si>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</si>
  <si>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</si>
  <si>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</si>
  <si>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</si>
  <si>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</si>
  <si>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</si>
  <si>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</si>
  <si>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</si>
  <si>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</si>
  <si>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</si>
  <si>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</si>
  <si>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</si>
  <si>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</si>
  <si>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</si>
  <si>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</si>
  <si>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</si>
  <si>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</si>
  <si>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</si>
  <si>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</si>
  <si>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</si>
  <si>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</si>
  <si>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</si>
  <si>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</si>
  <si>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</si>
  <si>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</si>
  <si>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</si>
  <si>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</si>
  <si>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</si>
  <si>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</si>
  <si>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</si>
  <si>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</si>
  <si>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</si>
  <si>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</si>
  <si>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</si>
  <si>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</si>
  <si>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</si>
  <si>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</si>
  <si>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</si>
  <si>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</si>
  <si>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</si>
  <si>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</si>
  <si>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</si>
  <si>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</si>
  <si>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</si>
  <si>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</si>
  <si>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</si>
  <si>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</si>
  <si>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</si>
  <si>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</si>
  <si>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</si>
  <si>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</si>
  <si>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</si>
  <si>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</si>
  <si>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</si>
  <si>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</si>
  <si>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</si>
  <si>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</si>
  <si>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</si>
  <si>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</si>
  <si>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</si>
  <si>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</si>
  <si>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</si>
  <si>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</si>
  <si>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</si>
  <si>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</si>
  <si>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</si>
  <si>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</si>
  <si>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</si>
  <si>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</si>
  <si>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</si>
  <si>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</si>
  <si>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</si>
  <si>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</si>
  <si>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</si>
  <si>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</si>
  <si>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</si>
  <si>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</si>
  <si>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</si>
  <si>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</si>
  <si>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</si>
  <si>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</si>
  <si>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</si>
  <si>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</si>
  <si>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</si>
  <si>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</si>
  <si>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</si>
  <si>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</si>
  <si>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</si>
  <si>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</si>
  <si>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</si>
  <si>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</si>
  <si>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</si>
  <si>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</si>
  <si>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</si>
  <si>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</si>
  <si>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</si>
  <si>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</si>
  <si>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</si>
  <si>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</si>
  <si>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</si>
  <si>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</si>
  <si>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</si>
  <si>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</si>
  <si>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</si>
  <si>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</si>
  <si>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</si>
  <si>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</si>
  <si>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</si>
  <si>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</si>
  <si>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</si>
  <si>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</si>
  <si>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</si>
  <si>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</si>
  <si>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</si>
  <si>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</si>
  <si>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</si>
  <si>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</si>
  <si>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</si>
  <si>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</si>
  <si>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</si>
  <si>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</si>
  <si>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</si>
  <si>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</si>
  <si>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</si>
  <si>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</si>
  <si>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</si>
  <si>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</si>
  <si>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</si>
  <si>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</si>
  <si>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</si>
  <si>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</si>
  <si>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</si>
  <si>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</si>
  <si>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</si>
  <si>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</si>
  <si>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</si>
  <si>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</si>
  <si>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</si>
  <si>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</si>
  <si>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</si>
  <si>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</si>
  <si>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</si>
  <si>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</si>
  <si>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</si>
  <si>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</si>
  <si>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</si>
  <si>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</si>
  <si>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</si>
  <si>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</si>
  <si>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</si>
  <si>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</si>
  <si>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</si>
  <si>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</si>
  <si>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</si>
  <si>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</si>
  <si>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</si>
  <si>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</si>
  <si>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</si>
  <si>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</si>
  <si>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</si>
  <si>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</si>
  <si>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</si>
  <si>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</si>
  <si>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</si>
  <si>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</si>
  <si>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</si>
  <si>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</si>
  <si>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</si>
  <si>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</si>
  <si>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</si>
  <si>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</si>
  <si>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</si>
  <si>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</si>
  <si>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</si>
  <si>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</si>
  <si>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</si>
  <si>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</si>
  <si>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</si>
  <si>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</si>
  <si>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</si>
  <si>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</si>
  <si>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</si>
  <si>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</si>
  <si>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</si>
  <si>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</si>
  <si>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</si>
  <si>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</si>
  <si>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</si>
  <si>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</si>
  <si>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</si>
  <si>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</si>
  <si>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</si>
  <si>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</si>
  <si>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</si>
  <si>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</si>
  <si>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</si>
  <si>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</si>
  <si>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</si>
  <si>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</si>
  <si>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</si>
  <si>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</si>
  <si>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</si>
  <si>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</si>
  <si>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</si>
  <si>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</si>
  <si>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</si>
  <si>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</si>
  <si>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</si>
  <si>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</si>
  <si>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</si>
  <si>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</si>
  <si>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</si>
  <si>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</si>
  <si>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</si>
  <si>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</si>
  <si>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</si>
  <si>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</si>
  <si>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</si>
  <si>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</si>
  <si>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</si>
  <si>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</si>
  <si>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</si>
  <si>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</si>
  <si>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</si>
  <si>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</si>
  <si>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</si>
  <si>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</si>
  <si>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</si>
  <si>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</si>
  <si>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</si>
  <si>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</si>
  <si>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</si>
  <si>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</si>
  <si>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</si>
  <si>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</si>
  <si>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</si>
  <si>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</si>
  <si>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</si>
  <si>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</si>
  <si>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</si>
  <si>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</si>
  <si>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</si>
  <si>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</si>
  <si>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</si>
  <si>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</si>
  <si>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</si>
  <si>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</si>
  <si>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</si>
  <si>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</si>
  <si>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</si>
  <si>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</si>
  <si>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</si>
  <si>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</si>
  <si>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</si>
  <si>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</si>
  <si>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</si>
  <si>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</si>
  <si>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</si>
  <si>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</si>
  <si>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</si>
  <si>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</si>
  <si>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</si>
  <si>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</si>
  <si>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</si>
  <si>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</si>
  <si>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</si>
  <si>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</si>
  <si>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</si>
  <si>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</si>
  <si>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</si>
  <si>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</si>
  <si>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</si>
  <si>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</si>
  <si>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</si>
  <si>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</si>
  <si>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</si>
  <si>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</si>
  <si>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</si>
  <si>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</si>
  <si>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</si>
  <si>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</si>
  <si>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</si>
  <si>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</si>
  <si>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</si>
  <si>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</si>
  <si>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</si>
  <si>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</si>
  <si>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</si>
  <si>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</si>
  <si>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</si>
  <si>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</si>
  <si>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</si>
  <si>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</si>
  <si>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</si>
  <si>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</si>
  <si>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</si>
  <si>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</si>
  <si>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</si>
  <si>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</si>
  <si>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</si>
  <si>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</si>
  <si>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</si>
  <si>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</si>
  <si>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</si>
  <si>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</si>
  <si>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</si>
  <si>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</si>
  <si>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</si>
  <si>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</si>
  <si>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</si>
  <si>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</si>
  <si>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</si>
  <si>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</si>
  <si>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</si>
  <si>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</si>
  <si>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</si>
  <si>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</si>
  <si>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</si>
  <si>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</si>
  <si>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</si>
  <si>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</si>
  <si>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</si>
  <si>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</si>
  <si>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</si>
  <si>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</si>
  <si>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</si>
  <si>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</si>
  <si>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</si>
  <si>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</si>
  <si>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</si>
  <si>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</si>
  <si>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</si>
  <si>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</si>
  <si>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</si>
  <si>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</si>
  <si>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</si>
  <si>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</si>
  <si>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</si>
  <si>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</si>
  <si>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</si>
  <si>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</si>
  <si>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</si>
  <si>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</si>
  <si>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</si>
  <si>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</si>
  <si>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</si>
  <si>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</si>
  <si>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</si>
  <si>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</si>
  <si>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</si>
  <si>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</si>
  <si>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</si>
  <si>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</si>
  <si>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</si>
  <si>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</si>
  <si>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</si>
  <si>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</si>
  <si>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</si>
  <si>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</si>
  <si>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</si>
  <si>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</si>
  <si>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</si>
  <si>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</si>
  <si>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</si>
  <si>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</si>
  <si>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</si>
  <si>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</si>
  <si>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</si>
  <si>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</si>
  <si>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</si>
  <si>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</si>
  <si>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</si>
  <si>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</si>
  <si>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</si>
  <si>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</si>
  <si>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</si>
  <si>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</si>
  <si>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</si>
  <si>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</si>
  <si>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</si>
  <si>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</si>
  <si>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</si>
  <si>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</si>
  <si>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</si>
  <si>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</si>
  <si>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</si>
  <si>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</si>
  <si>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</si>
  <si>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</si>
  <si>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</si>
  <si>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</si>
  <si>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</si>
  <si>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</si>
  <si>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</si>
  <si>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</si>
  <si>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</si>
  <si>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</si>
  <si>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</si>
  <si>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</si>
  <si>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</si>
  <si>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</si>
  <si>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</si>
  <si>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</si>
  <si>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</si>
  <si>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</si>
  <si>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</si>
  <si>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</si>
  <si>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</si>
  <si>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</si>
  <si>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</si>
  <si>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</si>
  <si>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</si>
  <si>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</si>
  <si>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</si>
  <si>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</si>
  <si>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</si>
  <si>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</si>
  <si>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</si>
  <si>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</si>
  <si>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</si>
  <si>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</si>
  <si>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</si>
  <si>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</si>
  <si>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</si>
  <si>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</si>
  <si>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</si>
  <si>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</si>
  <si>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</si>
  <si>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</si>
  <si>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</si>
  <si>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</si>
  <si>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</si>
  <si>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</si>
  <si>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</si>
  <si>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</si>
  <si>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</si>
  <si>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</si>
  <si>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</si>
  <si>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</si>
  <si>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</si>
  <si>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</si>
  <si>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</si>
  <si>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</si>
  <si>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</si>
  <si>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</si>
  <si>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</si>
  <si>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</si>
  <si>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</si>
  <si>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</si>
  <si>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</si>
  <si>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</si>
  <si>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</si>
  <si>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</si>
  <si>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</si>
  <si>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</si>
  <si>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</si>
  <si>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</si>
  <si>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</si>
  <si>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</si>
  <si>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</si>
  <si>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</si>
  <si>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</si>
  <si>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</si>
  <si>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</si>
  <si>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</si>
  <si>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</si>
  <si>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</si>
  <si>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</si>
  <si>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</si>
  <si>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</si>
  <si>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</si>
  <si>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</si>
  <si>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</si>
  <si>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</si>
  <si>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</si>
  <si>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</si>
  <si>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</si>
  <si>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</si>
  <si>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</si>
  <si>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</si>
  <si>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</si>
  <si>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</si>
  <si>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</si>
  <si>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</si>
  <si>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</si>
  <si>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</si>
  <si>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</si>
  <si>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</si>
  <si>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</si>
  <si>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</si>
  <si>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</si>
  <si>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</si>
  <si>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</si>
  <si>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</si>
  <si>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</si>
  <si>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</si>
  <si>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</si>
  <si>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</si>
  <si>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</si>
  <si>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</si>
  <si>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</si>
  <si>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</si>
  <si>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</si>
  <si>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</si>
  <si>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</si>
  <si>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</si>
  <si>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</si>
  <si>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</si>
  <si>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</si>
  <si>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</si>
  <si>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</si>
  <si>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</si>
  <si>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</si>
  <si>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</si>
  <si>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</si>
  <si>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</si>
  <si>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</si>
  <si>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</si>
  <si>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</si>
  <si>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</si>
  <si>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</si>
  <si>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</si>
  <si>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</si>
  <si>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</si>
  <si>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</si>
  <si>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</si>
  <si>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</si>
  <si>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</si>
  <si>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</si>
  <si>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</si>
  <si>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</si>
  <si>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</si>
  <si>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</si>
  <si>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</si>
  <si>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</si>
  <si>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</si>
  <si>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</si>
  <si>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</si>
  <si>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</si>
  <si>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</si>
  <si>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</si>
  <si>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</si>
  <si>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</si>
  <si>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</si>
  <si>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</si>
  <si>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</si>
  <si>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</si>
  <si>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</si>
  <si>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</si>
  <si>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</si>
  <si>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</si>
  <si>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</si>
  <si>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</si>
  <si>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</si>
  <si>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</si>
  <si>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</si>
  <si>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</si>
  <si>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</si>
  <si>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</si>
  <si>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</si>
  <si>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</si>
  <si>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</si>
  <si>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</si>
  <si>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</si>
  <si>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</si>
  <si>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</si>
  <si>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</si>
  <si>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</si>
  <si>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</si>
  <si>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</si>
  <si>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</si>
  <si>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</si>
  <si>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</si>
  <si>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</si>
  <si>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</si>
  <si>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</si>
  <si>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</si>
  <si>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</si>
  <si>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</si>
  <si>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</si>
  <si>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</si>
  <si>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</si>
  <si>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</si>
  <si>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</si>
  <si>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</si>
  <si>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</si>
  <si>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</si>
  <si>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</si>
  <si>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</si>
  <si>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</si>
  <si>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</si>
  <si>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</si>
  <si>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</si>
  <si>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</si>
  <si>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</si>
  <si>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</si>
  <si>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</si>
  <si>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</si>
  <si>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</si>
  <si>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</si>
  <si>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</si>
  <si>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</si>
  <si>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</si>
  <si>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</si>
  <si>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</si>
  <si>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</si>
  <si>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</si>
  <si>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</si>
  <si>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</si>
  <si>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</si>
  <si>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</si>
  <si>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</si>
  <si>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</si>
  <si>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</si>
  <si>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</si>
  <si>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</si>
  <si>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</si>
  <si>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</si>
  <si>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</si>
  <si>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</si>
  <si>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</si>
  <si>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</si>
  <si>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</si>
  <si>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</si>
  <si>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</si>
  <si>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</si>
  <si>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</si>
  <si>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</si>
  <si>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</si>
  <si>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</si>
  <si>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</si>
  <si>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</si>
  <si>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</si>
  <si>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</si>
  <si>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</si>
  <si>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</si>
  <si>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</si>
  <si>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</si>
  <si>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</si>
  <si>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</si>
  <si>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</si>
  <si>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</si>
  <si>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</si>
  <si>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</si>
  <si>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</si>
  <si>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</si>
  <si>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</si>
  <si>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</si>
  <si>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</si>
  <si>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</si>
  <si>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</si>
  <si>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</si>
  <si>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</si>
  <si>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</si>
  <si>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</si>
  <si>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</si>
  <si>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</si>
  <si>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</si>
  <si>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</si>
  <si>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</si>
  <si>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</si>
  <si>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</si>
  <si>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</si>
  <si>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</si>
  <si>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</si>
  <si>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</si>
  <si>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</si>
  <si>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</si>
  <si>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</si>
  <si>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</si>
  <si>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</si>
  <si>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</si>
  <si>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</si>
  <si>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</si>
  <si>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</si>
  <si>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</si>
  <si>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</si>
  <si>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</si>
  <si>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</si>
  <si>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</si>
  <si>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</si>
  <si>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</si>
  <si>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</si>
  <si>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</si>
  <si>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</si>
  <si>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</si>
  <si>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</si>
  <si>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</si>
  <si>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</si>
  <si>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</si>
  <si>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</si>
  <si>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</si>
  <si>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</si>
  <si>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</si>
  <si>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</si>
  <si>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</si>
  <si>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</si>
  <si>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</si>
  <si>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</si>
  <si>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</si>
  <si>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</si>
  <si>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</si>
  <si>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</si>
  <si>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</si>
  <si>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</si>
  <si>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</si>
  <si>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</si>
  <si>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</si>
  <si>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</si>
  <si>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</si>
  <si>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</si>
  <si>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</si>
  <si>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</si>
  <si>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</si>
  <si>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</si>
  <si>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</si>
  <si>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</si>
  <si>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</si>
  <si>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</si>
  <si>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</si>
  <si>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</si>
  <si>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</si>
  <si>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</si>
  <si>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</si>
  <si>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</si>
  <si>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</si>
  <si>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</si>
  <si>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</si>
  <si>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</si>
  <si>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</si>
  <si>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</si>
  <si>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</si>
  <si>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</si>
  <si>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</si>
  <si>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</si>
  <si>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</si>
  <si>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</si>
  <si>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</si>
  <si>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</si>
  <si>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</si>
  <si>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</si>
  <si>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</si>
  <si>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</si>
  <si>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</si>
  <si>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</si>
  <si>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</si>
  <si>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</si>
  <si>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</si>
  <si>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</si>
  <si>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</si>
  <si>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</si>
  <si>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</si>
  <si>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</si>
  <si>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</si>
  <si>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</si>
  <si>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</si>
  <si>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</si>
  <si>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</si>
  <si>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</si>
  <si>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</si>
  <si>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</si>
  <si>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</si>
  <si>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</si>
  <si>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</si>
  <si>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</si>
  <si>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</si>
  <si>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</si>
  <si>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</si>
  <si>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</si>
  <si>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</si>
  <si>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</si>
  <si>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</si>
  <si>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</si>
  <si>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</si>
  <si>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</si>
  <si>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</si>
  <si>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</si>
  <si>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</si>
  <si>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</si>
  <si>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</si>
  <si>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</si>
  <si>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</si>
  <si>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</si>
  <si>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</si>
  <si>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</si>
  <si>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</si>
  <si>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</si>
  <si>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</si>
  <si>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</si>
  <si>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</si>
  <si>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</si>
  <si>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</si>
  <si>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</si>
  <si>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</si>
  <si>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</si>
  <si>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</si>
  <si>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</si>
  <si>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</si>
  <si>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</si>
  <si>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</si>
  <si>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</si>
  <si>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</si>
  <si>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</si>
  <si>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</si>
  <si>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</si>
  <si>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</si>
  <si>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</si>
  <si>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</si>
  <si>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</si>
  <si>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</si>
  <si>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</si>
  <si>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</si>
  <si>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</si>
  <si>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</si>
  <si>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</si>
  <si>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</si>
  <si>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</si>
  <si>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</si>
  <si>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</si>
  <si>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</si>
  <si>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</si>
  <si>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</si>
  <si>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</si>
  <si>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</si>
  <si>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</si>
  <si>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</si>
  <si>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</si>
  <si>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</si>
  <si>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</si>
  <si>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</si>
  <si>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</si>
  <si>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</si>
  <si>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</si>
  <si>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</si>
  <si>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</si>
  <si>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</si>
  <si>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</si>
  <si>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</si>
  <si>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</si>
  <si>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</si>
  <si>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</si>
  <si>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</si>
  <si>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</si>
  <si>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</si>
  <si>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</si>
  <si>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</si>
  <si>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</si>
  <si>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</si>
  <si>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</si>
  <si>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</si>
  <si>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</si>
  <si>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</si>
  <si>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</si>
  <si>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</si>
  <si>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</si>
  <si>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</si>
  <si>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</si>
  <si>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</si>
  <si>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</si>
  <si>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</si>
  <si>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</si>
  <si>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</si>
  <si>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</si>
  <si>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</si>
  <si>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</si>
  <si>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</si>
  <si>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</si>
  <si>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</si>
  <si>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</si>
  <si>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</si>
  <si>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</si>
  <si>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</si>
  <si>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</si>
  <si>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</si>
  <si>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</si>
  <si>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</si>
  <si>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</si>
  <si>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</si>
  <si>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</si>
  <si>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</si>
  <si>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</si>
  <si>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</si>
  <si>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</si>
  <si>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</si>
  <si>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</si>
  <si>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</si>
  <si>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</si>
  <si>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</si>
  <si>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</si>
  <si>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</si>
  <si>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</si>
  <si>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</si>
  <si>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</si>
  <si>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</si>
  <si>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</si>
  <si>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</si>
  <si>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</si>
  <si>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</si>
  <si>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</si>
  <si>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</si>
  <si>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</si>
  <si>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</si>
  <si>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</si>
  <si>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</si>
  <si>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</si>
  <si>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</si>
  <si>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</si>
  <si>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</si>
  <si>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</si>
  <si>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</si>
  <si>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</si>
  <si>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</si>
  <si>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</si>
  <si>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</si>
  <si>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</si>
  <si>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</si>
  <si>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</si>
  <si>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</si>
  <si>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</si>
  <si>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</si>
  <si>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</si>
  <si>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</si>
  <si>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</si>
  <si>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</si>
  <si>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</si>
  <si>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</si>
  <si>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</si>
  <si>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</si>
  <si>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</si>
  <si>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</si>
  <si>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</si>
  <si>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</si>
  <si>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</si>
  <si>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</si>
  <si>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</si>
  <si>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</si>
  <si>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</si>
  <si>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</si>
  <si>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</si>
  <si>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</si>
  <si>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</si>
  <si>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</si>
  <si>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</si>
  <si>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</si>
  <si>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</si>
  <si>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</si>
  <si>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</si>
  <si>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</si>
  <si>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</si>
  <si>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</si>
  <si>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</si>
  <si>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</si>
  <si>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</si>
  <si>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</si>
  <si>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</si>
  <si>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</si>
  <si>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</si>
  <si>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</si>
  <si>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</si>
  <si>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</si>
  <si>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</si>
  <si>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</si>
  <si>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</si>
  <si>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</si>
  <si>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</si>
  <si>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</si>
  <si>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</si>
  <si>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</si>
  <si>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</si>
  <si>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</si>
  <si>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</si>
  <si>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</si>
  <si>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</si>
  <si>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</si>
  <si>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</si>
  <si>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</si>
  <si>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</si>
  <si>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</si>
  <si>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</si>
  <si>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</si>
  <si>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</si>
  <si>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</si>
  <si>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</si>
  <si>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</si>
  <si>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</si>
  <si>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</si>
  <si>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</si>
  <si>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</si>
  <si>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</si>
  <si>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</si>
  <si>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</si>
  <si>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</si>
  <si>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</si>
  <si>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</si>
  <si>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</si>
  <si>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</si>
  <si>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</si>
  <si>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</si>
  <si>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</si>
  <si>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</si>
  <si>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</si>
  <si>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</si>
  <si>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</si>
  <si>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</si>
  <si>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</si>
  <si>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</si>
  <si>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</si>
  <si>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</si>
  <si>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</si>
  <si>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</si>
  <si>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</si>
  <si>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</si>
  <si>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</si>
  <si>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</si>
  <si>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</si>
  <si>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</si>
  <si>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</si>
  <si>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</si>
  <si>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</si>
  <si>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</si>
  <si>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</si>
  <si>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</si>
  <si>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</si>
  <si>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</si>
  <si>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</si>
  <si>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</si>
  <si>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</si>
  <si>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</si>
  <si>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</si>
  <si>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</si>
  <si>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</si>
  <si>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</si>
  <si>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</si>
  <si>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</si>
  <si>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</si>
  <si>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</si>
  <si>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</si>
  <si>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</si>
  <si>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</si>
  <si>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</si>
  <si>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</si>
  <si>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</si>
  <si>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</si>
  <si>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</si>
  <si>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</si>
  <si>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</si>
  <si>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</si>
  <si>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</si>
  <si>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</si>
  <si>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</si>
  <si>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</si>
  <si>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</si>
  <si>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</si>
  <si>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</si>
  <si>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</si>
  <si>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</si>
  <si>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</si>
  <si>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</si>
  <si>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</si>
  <si>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</si>
  <si>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</si>
  <si>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</si>
  <si>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</si>
  <si>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</si>
  <si>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</si>
  <si>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</si>
  <si>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</si>
  <si>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</si>
  <si>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</si>
  <si>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</si>
  <si>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</si>
  <si>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</si>
  <si>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</si>
  <si>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</si>
  <si>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</si>
  <si>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</si>
  <si>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</si>
  <si>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</si>
  <si>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</si>
  <si>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</si>
  <si>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</si>
  <si>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</si>
  <si>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</si>
  <si>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</si>
  <si>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</si>
  <si>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</si>
  <si>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</si>
  <si>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</si>
  <si>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</si>
  <si>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</si>
  <si>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</si>
  <si>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</si>
  <si>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</si>
  <si>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</si>
  <si>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</si>
  <si>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</si>
  <si>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</si>
  <si>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</si>
  <si>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</si>
  <si>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</si>
  <si>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</si>
  <si>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</si>
  <si>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</si>
  <si>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</si>
  <si>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</si>
  <si>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</si>
  <si>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</si>
  <si>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</si>
  <si>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</si>
  <si>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</si>
  <si>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</si>
  <si>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</si>
  <si>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</si>
  <si>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</si>
  <si>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</si>
  <si>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</si>
  <si>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</si>
  <si>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</si>
  <si>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</si>
  <si>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</si>
  <si>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</si>
  <si>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</si>
  <si>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</si>
  <si>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</si>
  <si>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</si>
  <si>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</si>
  <si>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</si>
  <si>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</si>
  <si>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</si>
  <si>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</si>
  <si>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</si>
  <si>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</si>
  <si>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</si>
  <si>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</si>
  <si>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</si>
  <si>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</si>
  <si>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</si>
  <si>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</si>
  <si>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</si>
  <si>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</si>
  <si>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</si>
  <si>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</si>
  <si>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</si>
  <si>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</si>
  <si>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</si>
  <si>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</si>
  <si>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</si>
  <si>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</si>
  <si>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</si>
  <si>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</si>
  <si>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</si>
  <si>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</si>
  <si>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</si>
  <si>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</si>
  <si>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</si>
  <si>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</si>
  <si>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</si>
  <si>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</si>
  <si>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</si>
  <si>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</si>
  <si>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</si>
  <si>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</si>
  <si>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</si>
  <si>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</si>
  <si>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</si>
  <si>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</si>
  <si>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</si>
  <si>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</si>
  <si>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</si>
  <si>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</si>
  <si>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</si>
  <si>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</si>
  <si>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</si>
  <si>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</si>
  <si>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</si>
  <si>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</si>
  <si>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</si>
  <si>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</si>
  <si>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</si>
  <si>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</si>
  <si>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</si>
  <si>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</si>
  <si>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</si>
  <si>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</si>
  <si>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</si>
  <si>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</si>
  <si>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</si>
  <si>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</si>
  <si>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</si>
  <si>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</si>
  <si>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</si>
  <si>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</si>
  <si>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</si>
  <si>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</si>
  <si>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</si>
  <si>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</si>
  <si>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</si>
  <si>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</si>
  <si>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</si>
  <si>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</si>
  <si>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</si>
  <si>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</si>
  <si>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</si>
  <si>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Amran Inc.</t>
  </si>
  <si>
    <t>12320 Cardinal Meadow Drive.  Suite 100, Sugar Land, TX. 77478</t>
  </si>
  <si>
    <t>Customer Service</t>
  </si>
  <si>
    <t>customerservice@amranit.com</t>
  </si>
  <si>
    <t>281-243-2200</t>
  </si>
  <si>
    <t>Bhargav Shah</t>
  </si>
  <si>
    <t>President</t>
  </si>
  <si>
    <t>sales@amranit.com</t>
  </si>
  <si>
    <t>Tin is present in the lead-free solder used to make electrical connections as well as brass components.  It is also used to coat commerially available lead wires and electrical crimps.  We do not source or use Tin directly but it may be present in small amounts in some of the compnents used in our products.  We are working with our suppliers to determine the origins and will update the list accordingly.</t>
  </si>
  <si>
    <t>We do not source or use Tin directly but it may be present in small amounts in some of the compnents used in our products.   We are working with our suppliers to determine the origins and will update the list accordingly.</t>
  </si>
  <si>
    <t>We are not a publicly traded company; however, we do ask our suppliers of solder, wire, brass compnents if they have a declaration.</t>
  </si>
  <si>
    <t>Webiste searches as well as a general questionnaire are used to obtain data</t>
  </si>
  <si>
    <t>TIN</t>
  </si>
  <si>
    <t>pt timah tbk kundur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</si>
</sst>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59">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3"/>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7">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ustomerservice@amrani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amrani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4"/>
      <c r="C11" s="144"/>
      <c r="D11" s="430" t="str">
        <f ca="1">IF(D9=Q9,OFFSET(L!$C$1,MATCH("Declaration"&amp;ADDRESS(ROW(),COLUMN(),4),L!$A:$A,0)-1,SL,,),"")</f>
        <v/>
      </c>
      <c r="E11" s="431"/>
      <c r="F11" s="431"/>
      <c r="G11" s="431"/>
      <c r="H11" s="431"/>
      <c r="I11" s="431"/>
      <c r="J11" s="43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t="s">
        <v>15656</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15657</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5" t="s">
        <v>15658</v>
      </c>
      <c r="E16" s="426"/>
      <c r="F16" s="426"/>
      <c r="G16" s="426"/>
      <c r="H16" s="426"/>
      <c r="I16" s="426"/>
      <c r="J16" s="42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15659</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3" t="s">
        <v>15660</v>
      </c>
      <c r="E18" s="444"/>
      <c r="F18" s="444"/>
      <c r="G18" s="444"/>
      <c r="H18" s="444"/>
      <c r="I18" s="444"/>
      <c r="J18" s="44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15661</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5" t="s">
        <v>15662</v>
      </c>
      <c r="E20" s="426"/>
      <c r="F20" s="426"/>
      <c r="G20" s="426"/>
      <c r="H20" s="426"/>
      <c r="I20" s="426"/>
      <c r="J20" s="42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0" t="s">
        <v>15659</v>
      </c>
      <c r="E21" s="411"/>
      <c r="F21" s="411"/>
      <c r="G21" s="411"/>
      <c r="H21" s="411"/>
      <c r="I21" s="411"/>
      <c r="J21" s="41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44928</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5"/>
      <c r="E23" s="43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88.5" customHeight="1">
      <c r="A27" s="49"/>
      <c r="B27" s="48" t="str">
        <f ca="1">OFFSET(L!$C$1,MATCH("Declaration"&amp;ADDRESS(ROW(),COLUMN(),4),L!$A:$A,0)-1,SL,,)&amp;P27</f>
        <v>Tin  (*)</v>
      </c>
      <c r="C27" s="43"/>
      <c r="D27" s="386" t="s">
        <v>488</v>
      </c>
      <c r="E27" s="387"/>
      <c r="F27" s="15"/>
      <c r="G27" s="394" t="s">
        <v>15663</v>
      </c>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1" t="str">
        <f ca="1">D25</f>
        <v>Answer</v>
      </c>
      <c r="E31" s="391"/>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6"/>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1" t="str">
        <f ca="1">D25</f>
        <v>Answer</v>
      </c>
      <c r="E37" s="391"/>
      <c r="F37" s="21"/>
      <c r="G37" s="52" t="str">
        <f ca="1">G25</f>
        <v>Comments</v>
      </c>
      <c r="H37" s="434"/>
      <c r="I37" s="434"/>
      <c r="J37" s="434"/>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42" customHeight="1">
      <c r="A39" s="49"/>
      <c r="B39" s="48" t="str">
        <f ca="1">OFFSET(L!$C$1,MATCH("Declaration"&amp;ADDRESS(ROW(),COLUMN(),4),L!$A:$A,0)-1,SL,,)&amp;P39</f>
        <v>Tin  (*)</v>
      </c>
      <c r="C39" s="13"/>
      <c r="D39" s="386" t="s">
        <v>490</v>
      </c>
      <c r="E39" s="387"/>
      <c r="F39" s="55"/>
      <c r="G39" s="394" t="s">
        <v>15664</v>
      </c>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6"/>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1" t="str">
        <f ca="1">D25</f>
        <v>Answer</v>
      </c>
      <c r="E43" s="391"/>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490</v>
      </c>
      <c r="E45" s="387"/>
      <c r="F45" s="55"/>
      <c r="G45" s="394"/>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490</v>
      </c>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6"/>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8"/>
      <c r="E56" s="429"/>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8" t="s">
        <v>2505</v>
      </c>
      <c r="E57" s="429"/>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8"/>
      <c r="E58" s="429"/>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8"/>
      <c r="E59" s="429"/>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1" t="str">
        <f ca="1">D25</f>
        <v>Answer</v>
      </c>
      <c r="E61" s="391"/>
      <c r="F61" s="21"/>
      <c r="G61" s="52" t="str">
        <f ca="1">G25</f>
        <v>Comments</v>
      </c>
      <c r="H61" s="433"/>
      <c r="I61" s="433"/>
      <c r="J61" s="43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489</v>
      </c>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6"/>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1" t="str">
        <f ca="1">D25</f>
        <v>Answer</v>
      </c>
      <c r="E67" s="391"/>
      <c r="F67" s="21"/>
      <c r="G67" s="52" t="str">
        <f ca="1">G25</f>
        <v>Comments</v>
      </c>
      <c r="H67" s="433" t="str">
        <f>IF(Q75="(*)","Click here to enter smelter names","")</f>
        <v/>
      </c>
      <c r="I67" s="433"/>
      <c r="J67" s="43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6"/>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489</v>
      </c>
      <c r="E75" s="387"/>
      <c r="F75" s="65"/>
      <c r="G75" s="394" t="s">
        <v>15665</v>
      </c>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1"/>
      <c r="H76" s="441"/>
      <c r="I76" s="441"/>
      <c r="J76" s="44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489</v>
      </c>
      <c r="E77" s="387"/>
      <c r="F77" s="65"/>
      <c r="G77" s="398"/>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489</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489</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12473</v>
      </c>
      <c r="E83" s="387"/>
      <c r="F83" s="65"/>
      <c r="G83" s="394" t="s">
        <v>15666</v>
      </c>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9" t="s">
        <v>489</v>
      </c>
      <c r="E85" s="440"/>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1"/>
      <c r="H86" s="441"/>
      <c r="I86" s="441"/>
      <c r="J86" s="44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489</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2"/>
      <c r="H88" s="442"/>
      <c r="I88" s="442"/>
      <c r="J88" s="44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8" t="str">
        <f>IF(OR($D$8="",$I$3=""),"","Click here to check required fields completion")</f>
        <v/>
      </c>
      <c r="C90" s="438"/>
      <c r="D90" s="438"/>
      <c r="E90" s="438"/>
      <c r="F90" s="438"/>
      <c r="G90" s="438"/>
      <c r="H90" s="438"/>
      <c r="I90" s="438"/>
      <c r="J90" s="43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2022 Responsible Minerals Initiative. All rights reserved.</v>
      </c>
      <c r="B91" s="437"/>
      <c r="C91" s="437"/>
      <c r="D91" s="437"/>
      <c r="E91" s="437"/>
      <c r="F91" s="437"/>
      <c r="G91" s="437"/>
      <c r="H91" s="437"/>
      <c r="I91" s="437"/>
      <c r="J91" s="43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4:J14"/>
    <mergeCell ref="D15:J15"/>
    <mergeCell ref="G27:J27"/>
    <mergeCell ref="G39:J39"/>
    <mergeCell ref="G75:J75"/>
    <mergeCell ref="G83:J83"/>
    <mergeCell ref="D18:J18"/>
    <mergeCell ref="D71:E71"/>
    <mergeCell ref="D70:E70"/>
    <mergeCell ref="D75:E75"/>
    <mergeCell ref="B73:J73"/>
    <mergeCell ref="D83:E83"/>
    <mergeCell ref="G89:J89"/>
    <mergeCell ref="D79:E79"/>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3:J13"/>
    <mergeCell ref="F3:H3"/>
    <mergeCell ref="I4:J4"/>
    <mergeCell ref="D9:G9"/>
    <mergeCell ref="B7:J7"/>
    <mergeCell ref="B10:B11"/>
    <mergeCell ref="B6:J6"/>
    <mergeCell ref="D16:J16"/>
    <mergeCell ref="D20:J20"/>
    <mergeCell ref="D38:E38"/>
    <mergeCell ref="G32:J32"/>
    <mergeCell ref="G29:J29"/>
    <mergeCell ref="D57:E5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6" priority="65" stopIfTrue="1">
      <formula>AND(OR($D$26="No",AND($D$26="Yes",$D$32="No")),OR($D$27="No",AND($D$27="Yes",$D$33="No")),OR($D$28="No",AND($D$28="Yes",$D$34="No")),OR($D$29="No",AND($D$29="Yes",$D$35="No")))</formula>
    </cfRule>
    <cfRule type="expression" dxfId="85" priority="66" stopIfTrue="1">
      <formula>IF(D75="",TRUE)</formula>
    </cfRule>
  </conditionalFormatting>
  <conditionalFormatting sqref="G77:J77">
    <cfRule type="expression" dxfId="84" priority="37" stopIfTrue="1">
      <formula>IF(AND($D$77="Yes",$G$77=""),TRUE)</formula>
    </cfRule>
  </conditionalFormatting>
  <conditionalFormatting sqref="D26:E26">
    <cfRule type="expression" dxfId="83" priority="117" stopIfTrue="1">
      <formula>IF($D$26="",TRUE)</formula>
    </cfRule>
  </conditionalFormatting>
  <conditionalFormatting sqref="D27:E27">
    <cfRule type="expression" dxfId="82" priority="124" stopIfTrue="1">
      <formula>IF($D$27="",TRUE)</formula>
    </cfRule>
  </conditionalFormatting>
  <conditionalFormatting sqref="D28:E28">
    <cfRule type="expression" dxfId="81" priority="125" stopIfTrue="1">
      <formula>IF($D$28="",TRUE)</formula>
    </cfRule>
  </conditionalFormatting>
  <conditionalFormatting sqref="D29:E29">
    <cfRule type="expression" dxfId="80" priority="126" stopIfTrue="1">
      <formula>IF($D$29="",TRUE)</formula>
    </cfRule>
  </conditionalFormatting>
  <conditionalFormatting sqref="D8:J8">
    <cfRule type="expression" dxfId="79" priority="131" stopIfTrue="1">
      <formula>IF($D$8="",TRUE)</formula>
    </cfRule>
  </conditionalFormatting>
  <conditionalFormatting sqref="D9:G9">
    <cfRule type="expression" dxfId="78" priority="132" stopIfTrue="1">
      <formula>IF($D$9="",TRUE)</formula>
    </cfRule>
  </conditionalFormatting>
  <conditionalFormatting sqref="D15:J15">
    <cfRule type="expression" dxfId="77" priority="133" stopIfTrue="1">
      <formula>IF($D$15="",TRUE)</formula>
    </cfRule>
  </conditionalFormatting>
  <conditionalFormatting sqref="D16:J16">
    <cfRule type="expression" dxfId="76" priority="134" stopIfTrue="1">
      <formula>IF($D$16="",TRUE)</formula>
    </cfRule>
  </conditionalFormatting>
  <conditionalFormatting sqref="D17:J17">
    <cfRule type="expression" dxfId="75" priority="2" stopIfTrue="1">
      <formula>IF($D$17="",TRUE)</formula>
    </cfRule>
  </conditionalFormatting>
  <conditionalFormatting sqref="D22:E22">
    <cfRule type="expression" dxfId="74" priority="139" stopIfTrue="1">
      <formula>IF($D$22="",TRUE)</formula>
    </cfRule>
  </conditionalFormatting>
  <conditionalFormatting sqref="D10:J10">
    <cfRule type="expression" dxfId="73" priority="36" stopIfTrue="1">
      <formula>IF($D$9=$Q$9,TRUE)</formula>
    </cfRule>
    <cfRule type="expression" dxfId="72" priority="146" stopIfTrue="1">
      <formula>IF(AND($D$10="",$D$9=$R$9),TRUE)</formula>
    </cfRule>
  </conditionalFormatting>
  <conditionalFormatting sqref="D34:E34 D40:E40 D52:E52 D58:E58 D64:E64 D70:E70">
    <cfRule type="expression" dxfId="71" priority="29" stopIfTrue="1">
      <formula>$P$28=""</formula>
    </cfRule>
  </conditionalFormatting>
  <conditionalFormatting sqref="D35:E35 D41:E41 D53:E53 D59:E59 D65:E65 D71:E71">
    <cfRule type="expression" dxfId="70" priority="144" stopIfTrue="1">
      <formula>$P$29=""</formula>
    </cfRule>
  </conditionalFormatting>
  <conditionalFormatting sqref="D32:E32">
    <cfRule type="expression" dxfId="69" priority="122" stopIfTrue="1">
      <formula>$P$26=""</formula>
    </cfRule>
  </conditionalFormatting>
  <conditionalFormatting sqref="D32:E32">
    <cfRule type="expression" dxfId="68" priority="35" stopIfTrue="1">
      <formula>IF(AND(OR($D$26="Yes",$D$26=""),$D$32=""),1,0)</formula>
    </cfRule>
  </conditionalFormatting>
  <conditionalFormatting sqref="D38 D50 D56 D62 D68">
    <cfRule type="expression" dxfId="67" priority="31" stopIfTrue="1">
      <formula>$P$32=""</formula>
    </cfRule>
  </conditionalFormatting>
  <conditionalFormatting sqref="D39:E39 D51 D57 D63 D69">
    <cfRule type="expression" dxfId="66" priority="30" stopIfTrue="1">
      <formula>$P$33=""</formula>
    </cfRule>
  </conditionalFormatting>
  <conditionalFormatting sqref="D40 D52 D58 D64 D70">
    <cfRule type="expression" dxfId="65" priority="20" stopIfTrue="1">
      <formula>$P$34=""</formula>
    </cfRule>
    <cfRule type="expression" dxfId="64" priority="142" stopIfTrue="1">
      <formula>IF(AND(OR($D$28="Yes",$D$28=""),D40=""),1,0)</formula>
    </cfRule>
  </conditionalFormatting>
  <conditionalFormatting sqref="D41 D53 D59 D65 D71">
    <cfRule type="expression" dxfId="63" priority="28" stopIfTrue="1">
      <formula>$P$35=""</formula>
    </cfRule>
  </conditionalFormatting>
  <conditionalFormatting sqref="D38:E38 D50:E50 D56:E56 D62:E62 D68:E68">
    <cfRule type="expression" dxfId="62" priority="33" stopIfTrue="1">
      <formula>$P$26=""</formula>
    </cfRule>
    <cfRule type="expression" dxfId="61" priority="34" stopIfTrue="1">
      <formula>IF(AND(OR($D$26="Yes",$D$26=""),D38=""),1,0)</formula>
    </cfRule>
  </conditionalFormatting>
  <conditionalFormatting sqref="G85:J85">
    <cfRule type="expression" dxfId="60" priority="27" stopIfTrue="1">
      <formula>IF(AND($D$85="Yes, using other format (describe)",$G$85=""),TRUE)</formula>
    </cfRule>
  </conditionalFormatting>
  <conditionalFormatting sqref="D39:E39 D51:E51 D57:E57 D63:E63 D69:E69">
    <cfRule type="expression" dxfId="59" priority="140" stopIfTrue="1">
      <formula>$P$39=""</formula>
    </cfRule>
    <cfRule type="expression" dxfId="58" priority="141" stopIfTrue="1">
      <formula>IF(AND(OR($D$27="Yes",$D$27=""),D39=""),1,0)</formula>
    </cfRule>
  </conditionalFormatting>
  <conditionalFormatting sqref="D33:E33">
    <cfRule type="expression" dxfId="57" priority="22" stopIfTrue="1">
      <formula>IF(AND(OR($D$27="Yes",$D$27=""),$D$33=""),1,0)</formula>
    </cfRule>
    <cfRule type="expression" dxfId="56" priority="23" stopIfTrue="1">
      <formula>$P$27=""</formula>
    </cfRule>
  </conditionalFormatting>
  <conditionalFormatting sqref="D34:E34">
    <cfRule type="expression" dxfId="55" priority="143" stopIfTrue="1">
      <formula>IF(AND(OR($D$28="Yes",$D$28=""),$D$34=""),1,0)</formula>
    </cfRule>
  </conditionalFormatting>
  <conditionalFormatting sqref="D41:E41 D53:E53 D59:E59 D65:E65 D71:E71">
    <cfRule type="expression" dxfId="54" priority="145" stopIfTrue="1">
      <formula>IF(AND(OR($D$29="Yes",$D$29=""),D41=""),1,0)</formula>
    </cfRule>
  </conditionalFormatting>
  <conditionalFormatting sqref="D35:E35">
    <cfRule type="expression" dxfId="53" priority="19" stopIfTrue="1">
      <formula>IF(AND(OR($D$29="Yes",$D$29=""),$D$35=""),1,0)</formula>
    </cfRule>
  </conditionalFormatting>
  <conditionalFormatting sqref="D20:J20">
    <cfRule type="expression" dxfId="52" priority="15" stopIfTrue="1">
      <formula>IF($D$20="",TRUE)</formula>
    </cfRule>
  </conditionalFormatting>
  <conditionalFormatting sqref="D46:E46">
    <cfRule type="expression" dxfId="51" priority="5" stopIfTrue="1">
      <formula>$P$28=""</formula>
    </cfRule>
  </conditionalFormatting>
  <conditionalFormatting sqref="D47:E47">
    <cfRule type="expression" dxfId="50" priority="13" stopIfTrue="1">
      <formula>$P$29=""</formula>
    </cfRule>
  </conditionalFormatting>
  <conditionalFormatting sqref="D44">
    <cfRule type="expression" dxfId="49" priority="7" stopIfTrue="1">
      <formula>$P$32=""</formula>
    </cfRule>
  </conditionalFormatting>
  <conditionalFormatting sqref="D45">
    <cfRule type="expression" dxfId="48" priority="6" stopIfTrue="1">
      <formula>$P$33=""</formula>
    </cfRule>
  </conditionalFormatting>
  <conditionalFormatting sqref="D46">
    <cfRule type="expression" dxfId="47" priority="3" stopIfTrue="1">
      <formula>$P$34=""</formula>
    </cfRule>
    <cfRule type="expression" dxfId="46" priority="12" stopIfTrue="1">
      <formula>IF(AND(OR($D$28="Yes",$D$28=""),D46=""),1,0)</formula>
    </cfRule>
  </conditionalFormatting>
  <conditionalFormatting sqref="D47">
    <cfRule type="expression" dxfId="45" priority="4" stopIfTrue="1">
      <formula>$P$35=""</formula>
    </cfRule>
  </conditionalFormatting>
  <conditionalFormatting sqref="D44:E44">
    <cfRule type="expression" dxfId="44" priority="8" stopIfTrue="1">
      <formula>$P$26=""</formula>
    </cfRule>
    <cfRule type="expression" dxfId="43" priority="9" stopIfTrue="1">
      <formula>IF(AND(OR($D$26="Yes",$D$26=""),D44=""),1,0)</formula>
    </cfRule>
  </conditionalFormatting>
  <conditionalFormatting sqref="D45:E45">
    <cfRule type="expression" dxfId="42" priority="10" stopIfTrue="1">
      <formula>$P$39=""</formula>
    </cfRule>
    <cfRule type="expression" dxfId="41" priority="11" stopIfTrue="1">
      <formula>IF(AND(OR($D$27="Yes",$D$27=""),D45=""),1,0)</formula>
    </cfRule>
  </conditionalFormatting>
  <conditionalFormatting sqref="D47:E47">
    <cfRule type="expression" dxfId="40" priority="14" stopIfTrue="1">
      <formula>IF(AND(OR($D$29="Yes",$D$29=""),D47=""),1,0)</formula>
    </cfRule>
  </conditionalFormatting>
  <conditionalFormatting sqref="D18:J18">
    <cfRule type="expression" dxfId="39" priority="136" stopIfTrue="1">
      <formula>IF($D$18="",TRUE)</formula>
    </cfRule>
  </conditionalFormatting>
  <conditionalFormatting sqref="D21:J21">
    <cfRule type="expression" dxfId="1"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4" zoomScaleNormal="100" zoomScalePageLayoutView="55" workbookViewId="0">
      <selection activeCell="C8" sqref="C8"/>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15667</v>
      </c>
      <c r="C5" s="212" t="s">
        <v>15668</v>
      </c>
      <c r="D5" s="270"/>
      <c r="E5" s="208" t="str">
        <f ca="1">IF(ISERROR($V5),"",OFFSET('Smelter Look-up'!$D$4,$V5-4,0)&amp;"")</f>
        <v>INDONESIA</v>
      </c>
      <c r="F5" s="208" t="str">
        <f ca="1">IF(ISERROR($V5),"",OFFSET('Smelter Look-up'!$E$4,$V5-4,0))</f>
        <v>CID001477</v>
      </c>
      <c r="G5" s="208" t="str">
        <f ca="1">IF(C5=$X$4,IF(ISERROR($V5),"Enter smelter details","RMI"),IF(ISERROR($V5),"",OFFSET('Smelter Look-up'!$F$4,$V5-4,0)))</f>
        <v>RMI</v>
      </c>
      <c r="H5" s="209">
        <f ca="1">IF(ISERROR($V5),"",OFFSET('Smelter Look-up'!$G$4,$V5-4,0))</f>
        <v>0</v>
      </c>
      <c r="I5" s="210" t="str">
        <f ca="1">IF(ISERROR($V5),"",OFFSET('Smelter Look-up'!$H$4,$V5-4,0))</f>
        <v>Kundur</v>
      </c>
      <c r="J5" s="210" t="str">
        <f ca="1">IF(ISERROR($V5),"",OFFSET('Smelter Look-up'!$I$4,$V5-4,0))</f>
        <v>Riau</v>
      </c>
      <c r="K5" s="260"/>
      <c r="L5" s="260"/>
      <c r="M5" s="260"/>
      <c r="N5" s="260"/>
      <c r="O5" s="260"/>
      <c r="P5" s="211"/>
      <c r="Q5" s="261"/>
      <c r="R5" s="208" t="str">
        <f ca="1">IF(ISERROR($V5),"",OFFSET('Smelter Look-up'!$C$4,$V5-4,0)&amp;"")</f>
        <v>PT Timah Tbk Kundur</v>
      </c>
      <c r="S5" s="215" t="str">
        <f t="shared" ref="S5" ca="1" si="0">IF(B5="","",IF(ISERROR(MATCH($E5,CL,0)),"Unknown",INDIRECT("'C'!$A$"&amp;MATCH($E5,CL,0)+1)))</f>
        <v>ID</v>
      </c>
      <c r="T5" s="215" t="str">
        <f ca="1">IF(B5="","",IF(ISERROR(MATCH($J5,SorP!$B$1:$B$6230,0)),"",INDIRECT("'SorP'!$A$"&amp;MATCH($J5,SorP!$B$1:$B$6230,0))))</f>
        <v>ID-RI</v>
      </c>
      <c r="U5" s="231"/>
      <c r="V5" s="262">
        <f>IF(C5="",NA(),IF(OR(C5="Smelter not listed",C5="Smelter not yet identified"),MATCH($B5&amp;$D5,'Smelter Look-up'!$J:$J,0),MATCH($B5&amp;$C5,'Smelter Look-up'!$J:$J,0)))</f>
        <v>508</v>
      </c>
      <c r="W5" s="263"/>
      <c r="X5" s="263">
        <f t="shared" ref="X5" ca="1" si="1">IF(AND(C5="Smelter not listed",OR(LEN(D5)=0,LEN(E5)=0)),1,0)</f>
        <v>0</v>
      </c>
      <c r="Y5" s="263"/>
      <c r="Z5" s="263"/>
      <c r="AB5" s="265" t="str">
        <f t="shared" ref="AB5" si="2">B5&amp;C5</f>
        <v>TINpt timah tbk kundur</v>
      </c>
    </row>
    <row r="6" spans="1:34" s="264" customFormat="1" ht="19.899999999999999" customHeight="1">
      <c r="A6" s="316"/>
      <c r="B6" s="208" t="s">
        <v>15667</v>
      </c>
      <c r="C6" s="212" t="s">
        <v>12509</v>
      </c>
      <c r="D6" s="270"/>
      <c r="E6" s="208" t="str">
        <f ca="1">IF(ISERROR($V6),"",OFFSET('Smelter Look-up'!$D$4,$V6-4,0)&amp;"")</f>
        <v>BRAZIL</v>
      </c>
      <c r="F6" s="208" t="str">
        <f ca="1">IF(ISERROR($V6),"",OFFSET('Smelter Look-up'!$E$4,$V6-4,0))</f>
        <v>CID001173</v>
      </c>
      <c r="G6" s="208" t="str">
        <f ca="1">IF(C6=$X$4,IF(ISERROR($V6),"Enter smelter details","RMI"),IF(ISERROR($V6),"",OFFSET('Smelter Look-up'!$F$4,$V6-4,0)))</f>
        <v>RMI</v>
      </c>
      <c r="H6" s="209">
        <f ca="1">IF(ISERROR($V6),"",OFFSET('Smelter Look-up'!$G$4,$V6-4,0))</f>
        <v>0</v>
      </c>
      <c r="I6" s="210" t="str">
        <f ca="1">IF(ISERROR($V6),"",OFFSET('Smelter Look-up'!$H$4,$V6-4,0))</f>
        <v>Bairro Guarapiranga</v>
      </c>
      <c r="J6" s="210" t="str">
        <f ca="1">IF(ISERROR($V6),"",OFFSET('Smelter Look-up'!$I$4,$V6-4,0))</f>
        <v>São Paulo</v>
      </c>
      <c r="K6" s="260"/>
      <c r="L6" s="260"/>
      <c r="M6" s="260"/>
      <c r="N6" s="260"/>
      <c r="O6" s="260"/>
      <c r="P6" s="211"/>
      <c r="Q6" s="261"/>
      <c r="R6" s="208" t="str">
        <f ca="1">IF(ISERROR($V6),"",OFFSET('Smelter Look-up'!$C$4,$V6-4,0)&amp;"")</f>
        <v>Mineracao Taboca S.A.</v>
      </c>
      <c r="S6" s="215" t="str">
        <f t="shared" ref="S6:S37" ca="1" si="3">IF(B6="","",IF(ISERROR(MATCH($E6,CL,0)),"Unknown",INDIRECT("'C'!$A$"&amp;MATCH($E6,CL,0)+1)))</f>
        <v>BR</v>
      </c>
      <c r="T6" s="215" t="str">
        <f ca="1">IF(B6="","",IF(ISERROR(MATCH($J6,SorP!$B$1:$B$6230,0)),"",INDIRECT("'SorP'!$A$"&amp;MATCH($J6,SorP!$B$1:$B$6230,0))))</f>
        <v>BR-SP</v>
      </c>
      <c r="U6" s="231"/>
      <c r="V6" s="262">
        <f>IF(C6="",NA(),IF(OR(C6="Smelter not listed",C6="Smelter not yet identified"),MATCH($B6&amp;$D6,'Smelter Look-up'!$J:$J,0),MATCH($B6&amp;$C6,'Smelter Look-up'!$J:$J,0)))</f>
        <v>464</v>
      </c>
      <c r="W6" s="263"/>
      <c r="X6" s="263">
        <f t="shared" ref="X6:X37" ca="1" si="4">IF(AND(C6="Smelter not listed",OR(LEN(D6)=0,LEN(E6)=0)),1,0)</f>
        <v>0</v>
      </c>
      <c r="Y6" s="263"/>
      <c r="Z6" s="263"/>
      <c r="AB6" s="265" t="str">
        <f t="shared" ref="AB6:AB37" si="5">B6&amp;C6</f>
        <v>TINMineracao Taboca S.A.</v>
      </c>
    </row>
    <row r="7" spans="1:34" s="264" customFormat="1" ht="19.899999999999999" customHeight="1">
      <c r="A7" s="316"/>
      <c r="B7" s="208" t="s">
        <v>15667</v>
      </c>
      <c r="C7" s="212" t="s">
        <v>13891</v>
      </c>
      <c r="D7" s="270"/>
      <c r="E7" s="208" t="str">
        <f ca="1">IF(ISERROR($V7),"",OFFSET('Smelter Look-up'!$D$4,$V7-4,0)&amp;"")</f>
        <v>CHINA</v>
      </c>
      <c r="F7" s="208" t="str">
        <f ca="1">IF(ISERROR($V7),"",OFFSET('Smelter Look-up'!$E$4,$V7-4,0))</f>
        <v>CID003397</v>
      </c>
      <c r="G7" s="208" t="str">
        <f ca="1">IF(C7=$X$4,IF(ISERROR($V7),"Enter smelter details","RMI"),IF(ISERROR($V7),"",OFFSET('Smelter Look-up'!$F$4,$V7-4,0)))</f>
        <v>RMI</v>
      </c>
      <c r="H7" s="209">
        <f ca="1">IF(ISERROR($V7),"",OFFSET('Smelter Look-up'!$G$4,$V7-4,0))</f>
        <v>0</v>
      </c>
      <c r="I7" s="210" t="str">
        <f ca="1">IF(ISERROR($V7),"",OFFSET('Smelter Look-up'!$H$4,$V7-4,0))</f>
        <v>Gejiu</v>
      </c>
      <c r="J7" s="210" t="str">
        <f ca="1">IF(ISERROR($V7),"",OFFSET('Smelter Look-up'!$I$4,$V7-4,0))</f>
        <v>Yunnan Sheng</v>
      </c>
      <c r="K7" s="260"/>
      <c r="L7" s="260"/>
      <c r="M7" s="260"/>
      <c r="N7" s="260"/>
      <c r="O7" s="260"/>
      <c r="P7" s="211"/>
      <c r="Q7" s="261"/>
      <c r="R7" s="208" t="str">
        <f ca="1">IF(ISERROR($V7),"",OFFSET('Smelter Look-up'!$C$4,$V7-4,0)&amp;"")</f>
        <v>Yunnan Yunfan Non-ferrous Metals Co., Ltd.</v>
      </c>
      <c r="S7" s="215" t="str">
        <f t="shared" ca="1" si="3"/>
        <v>CN</v>
      </c>
      <c r="T7" s="215" t="str">
        <f ca="1">IF(B7="","",IF(ISERROR(MATCH($J7,SorP!$B$1:$B$6230,0)),"",INDIRECT("'SorP'!$A$"&amp;MATCH($J7,SorP!$B$1:$B$6230,0))))</f>
        <v>CN-YN</v>
      </c>
      <c r="U7" s="231"/>
      <c r="V7" s="262">
        <f>IF(C7="",NA(),IF(OR(C7="Smelter not listed",C7="Smelter not yet identified"),MATCH($B7&amp;$D7,'Smelter Look-up'!$J:$J,0),MATCH($B7&amp;$C7,'Smelter Look-up'!$J:$J,0)))</f>
        <v>548</v>
      </c>
      <c r="W7" s="263"/>
      <c r="X7" s="263">
        <f t="shared" ca="1" si="4"/>
        <v>0</v>
      </c>
      <c r="Y7" s="263"/>
      <c r="Z7" s="263"/>
      <c r="AB7" s="265" t="str">
        <f t="shared" si="5"/>
        <v>TINYunnan Yunfan Non-ferrous Metals Co., Ltd.</v>
      </c>
    </row>
    <row r="8" spans="1:34" s="264" customFormat="1" ht="19.899999999999999" customHeight="1">
      <c r="A8" s="316"/>
      <c r="B8" s="208" t="s">
        <v>15667</v>
      </c>
      <c r="C8" s="212" t="s">
        <v>1785</v>
      </c>
      <c r="D8" s="270"/>
      <c r="E8" s="208" t="str">
        <f ca="1">IF(ISERROR($V8),"",OFFSET('Smelter Look-up'!$D$4,$V8-4,0)&amp;"")</f>
        <v>CHINA</v>
      </c>
      <c r="F8" s="208" t="str">
        <f ca="1">IF(ISERROR($V8),"",OFFSET('Smelter Look-up'!$E$4,$V8-4,0))</f>
        <v>CID000555</v>
      </c>
      <c r="G8" s="208" t="str">
        <f ca="1">IF(C8=$X$4,IF(ISERROR($V8),"Enter smelter details","RMI"),IF(ISERROR($V8),"",OFFSET('Smelter Look-up'!$F$4,$V8-4,0)))</f>
        <v>RMI</v>
      </c>
      <c r="H8" s="209">
        <f ca="1">IF(ISERROR($V8),"",OFFSET('Smelter Look-up'!$G$4,$V8-4,0))</f>
        <v>0</v>
      </c>
      <c r="I8" s="210" t="str">
        <f ca="1">IF(ISERROR($V8),"",OFFSET('Smelter Look-up'!$H$4,$V8-4,0))</f>
        <v>Gejiu</v>
      </c>
      <c r="J8" s="210" t="str">
        <f ca="1">IF(ISERROR($V8),"",OFFSET('Smelter Look-up'!$I$4,$V8-4,0))</f>
        <v>Yunnan Sheng</v>
      </c>
      <c r="K8" s="260"/>
      <c r="L8" s="260"/>
      <c r="M8" s="260"/>
      <c r="N8" s="260"/>
      <c r="O8" s="260"/>
      <c r="P8" s="211"/>
      <c r="Q8" s="261"/>
      <c r="R8" s="208" t="str">
        <f ca="1">IF(ISERROR($V8),"",OFFSET('Smelter Look-up'!$C$4,$V8-4,0)&amp;"")</f>
        <v>Gejiu Zili Mining And Metallurgy Co., Ltd.</v>
      </c>
      <c r="S8" s="215" t="str">
        <f t="shared" ca="1" si="3"/>
        <v>CN</v>
      </c>
      <c r="T8" s="215" t="str">
        <f ca="1">IF(B8="","",IF(ISERROR(MATCH($J8,SorP!$B$1:$B$6230,0)),"",INDIRECT("'SorP'!$A$"&amp;MATCH($J8,SorP!$B$1:$B$6230,0))))</f>
        <v>CN-YN</v>
      </c>
      <c r="U8" s="231"/>
      <c r="V8" s="262">
        <f>IF(C8="",NA(),IF(OR(C8="Smelter not listed",C8="Smelter not yet identified"),MATCH($B8&amp;$D8,'Smelter Look-up'!$J:$J,0),MATCH($B8&amp;$C8,'Smelter Look-up'!$J:$J,0)))</f>
        <v>436</v>
      </c>
      <c r="W8" s="263"/>
      <c r="X8" s="263">
        <f t="shared" ca="1" si="4"/>
        <v>0</v>
      </c>
      <c r="Y8" s="263"/>
      <c r="Z8" s="263"/>
      <c r="AB8" s="265" t="str">
        <f t="shared" si="5"/>
        <v>TINGejiu Zili Mining And Metallurgy Co., Ltd.</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8" priority="38" stopIfTrue="1">
      <formula>IF(B586="",TRUE)</formula>
    </cfRule>
    <cfRule type="expression" dxfId="37" priority="49" stopIfTrue="1">
      <formula>IF(AND(COUNTIF(MetalSmelter,B586&amp;C586)=0,LEN(C586)&gt;0),TRUE,FALSE)</formula>
    </cfRule>
  </conditionalFormatting>
  <conditionalFormatting sqref="R586:R2505 E586:E2504">
    <cfRule type="expression" dxfId="36" priority="45" stopIfTrue="1">
      <formula>IF(AND(E586="",$C586=$X$4),TRUE)</formula>
    </cfRule>
    <cfRule type="expression" dxfId="35" priority="46" stopIfTrue="1">
      <formula>IF(FIND("!",E586),TRUE)</formula>
    </cfRule>
  </conditionalFormatting>
  <conditionalFormatting sqref="F586:F2504">
    <cfRule type="expression" dxfId="34" priority="36" stopIfTrue="1">
      <formula>IF(AND(LEN($A586)&gt;0,$A586&lt;&gt;$F586),TRUE,FALSE)</formula>
    </cfRule>
  </conditionalFormatting>
  <conditionalFormatting sqref="C586:C2504">
    <cfRule type="expression" dxfId="33" priority="35" stopIfTrue="1">
      <formula>IF(AND(B586&lt;&gt;"",C586=""),TRUE)</formula>
    </cfRule>
  </conditionalFormatting>
  <conditionalFormatting sqref="B21:B585 B5:B19">
    <cfRule type="expression" dxfId="32" priority="14" stopIfTrue="1">
      <formula>IF(B5="",TRUE)</formula>
    </cfRule>
    <cfRule type="expression" dxfId="31" priority="17" stopIfTrue="1">
      <formula>IF(AND(COUNTIF(MetalSmelter,B5&amp;C5)=0,LEN(C5)&gt;0),TRUE,FALSE)</formula>
    </cfRule>
  </conditionalFormatting>
  <conditionalFormatting sqref="G5:G2504">
    <cfRule type="expression" dxfId="30" priority="20" stopIfTrue="1">
      <formula>IF(FIND("Enter smelter details",G5),TRUE)</formula>
    </cfRule>
  </conditionalFormatting>
  <conditionalFormatting sqref="R5:R585 E21:E585 E5:E19">
    <cfRule type="expression" dxfId="29" priority="15" stopIfTrue="1">
      <formula>IF(AND(E5="",$C5=$X$4),TRUE)</formula>
    </cfRule>
    <cfRule type="expression" dxfId="28" priority="16" stopIfTrue="1">
      <formula>IF(FIND("!",E5),TRUE)</formula>
    </cfRule>
  </conditionalFormatting>
  <conditionalFormatting sqref="F5:F19 F21:F585">
    <cfRule type="expression" dxfId="27" priority="13" stopIfTrue="1">
      <formula>IF(AND(LEN($A5)&gt;0,$A5&lt;&gt;$F5),TRUE,FALSE)</formula>
    </cfRule>
  </conditionalFormatting>
  <conditionalFormatting sqref="C21:C585 C5:C19">
    <cfRule type="expression" dxfId="26" priority="12" stopIfTrue="1">
      <formula>IF(AND(B5&lt;&gt;"",C5=""),TRUE)</formula>
    </cfRule>
  </conditionalFormatting>
  <conditionalFormatting sqref="B20">
    <cfRule type="expression" dxfId="25" priority="4" stopIfTrue="1">
      <formula>IF(B20="",TRUE)</formula>
    </cfRule>
    <cfRule type="expression" dxfId="24" priority="7" stopIfTrue="1">
      <formula>IF(AND(COUNTIF(MetalSmelter,B20&amp;C20)=0,LEN(C20)&gt;0),TRUE,FALSE)</formula>
    </cfRule>
  </conditionalFormatting>
  <conditionalFormatting sqref="E20">
    <cfRule type="expression" dxfId="23" priority="5" stopIfTrue="1">
      <formula>IF(AND(E20="",$C20=$X$4),TRUE)</formula>
    </cfRule>
    <cfRule type="expression" dxfId="22" priority="6" stopIfTrue="1">
      <formula>IF(FIND("!",E20),TRUE)</formula>
    </cfRule>
  </conditionalFormatting>
  <conditionalFormatting sqref="F20">
    <cfRule type="expression" dxfId="21" priority="3" stopIfTrue="1">
      <formula>IF(AND(LEN($A20)&gt;0,$A20&lt;&gt;$F20),TRUE,FALSE)</formula>
    </cfRule>
  </conditionalFormatting>
  <conditionalFormatting sqref="C20">
    <cfRule type="expression" dxfId="20" priority="2" stopIfTrue="1">
      <formula>IF(AND(B20&lt;&gt;"",C20=""),TRUE)</formula>
    </cfRule>
  </conditionalFormatting>
  <conditionalFormatting sqref="D5:D2504">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f ca="1">IF(H70=0,"0",H70)</f>
        <v>7</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Amran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Customer Service</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customerservice@amranit.com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281-243-2200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Bhargav Shah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sales@amranit.com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44928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f>IF($B$15="Yes",Declaration!D33,0)</f>
        <v>0</v>
      </c>
      <c r="C20" s="99" t="str">
        <f ca="1">IF(H20=1,J20,I20)</f>
        <v>Declare if Tin is necessary to the production of your products and contained within the finished products declared in Declaration tab cell D33</v>
      </c>
      <c r="D20" s="107" t="str">
        <f>IF(H20=1,"Click here to answer question 2 for Tin","")</f>
        <v>Click here to answer question 2 for Tin</v>
      </c>
      <c r="E20" s="81" t="s">
        <v>807</v>
      </c>
      <c r="F20" s="104">
        <f>IF(B$15="No",0,1)</f>
        <v>1</v>
      </c>
      <c r="G20" s="78">
        <f>IF(B20=0,1,0)</f>
        <v>1</v>
      </c>
      <c r="H20" s="79">
        <f>F20*G20</f>
        <v>1</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f>IF(AND($B$15="Yes",$B$20="Yes"),Declaration!D39,0)</f>
        <v>0</v>
      </c>
      <c r="C25" s="99" t="str">
        <f ca="1">IF(H25=1,J25,I25)</f>
        <v>Declare if Tin used within the scope of products declared within this survey response originated from the DRC or an adjoining Country on the Declaration tab cell D39</v>
      </c>
      <c r="D25" s="107" t="str">
        <f>IF(H25=1,"Click here to answer question 3 for Tin","")</f>
        <v>Click here to answer question 3 for Tin</v>
      </c>
      <c r="E25" s="81" t="s">
        <v>807</v>
      </c>
      <c r="F25" s="104">
        <f>IF(OR(B15="No",B20="No"),0,1)</f>
        <v>1</v>
      </c>
      <c r="G25" s="78">
        <f>IF(B25=0,1,0)</f>
        <v>1</v>
      </c>
      <c r="H25" s="79">
        <f>F25*G25</f>
        <v>1</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f>IF(AND($B$15="Yes",$B$20="Yes"),Declaration!D45,0)</f>
        <v>0</v>
      </c>
      <c r="C30" s="99" t="str">
        <f ca="1">IF(H30=1,J30,I30)</f>
        <v>Declare if Tin used within the scope of products declared within this survey response originated from a conflict-affected and high-risk area on the Declaration tab cell D45</v>
      </c>
      <c r="D30" s="314" t="str">
        <f>IF(H30=1,"Click here to answer question 4 for Tin","")</f>
        <v>Click here to answer question 4 for Tin</v>
      </c>
      <c r="E30" s="81"/>
      <c r="F30" s="104">
        <f>F25</f>
        <v>1</v>
      </c>
      <c r="G30" s="78">
        <f>IF(B30=0,1,0)</f>
        <v>1</v>
      </c>
      <c r="H30" s="79">
        <f>F30*G30</f>
        <v>1</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f>IF(AND($B$15="Yes",$B$20="Yes"),Declaration!D51,0)</f>
        <v>0</v>
      </c>
      <c r="C35" s="99" t="str">
        <f ca="1">IF(H35=1,J35,I35)</f>
        <v>Declare if Tin used within the scope of products declared within this survey response originated entirely from a recycled or scrap source on the Declaration tab cell D45</v>
      </c>
      <c r="D35" s="314" t="str">
        <f>IF(H35=1,"Click here to answer question 5 for Tin","")</f>
        <v>Click here to answer question 5 for Tin</v>
      </c>
      <c r="E35" s="81" t="s">
        <v>1307</v>
      </c>
      <c r="F35" s="104">
        <f>F25</f>
        <v>1</v>
      </c>
      <c r="G35" s="78">
        <f>IF(B35=0,1,0)</f>
        <v>1</v>
      </c>
      <c r="H35" s="79">
        <f>F35*G35</f>
        <v>1</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0</v>
      </c>
      <c r="C40" s="99" t="str">
        <f ca="1">IF(H40=1,J40,I40)</f>
        <v>Provide % of completeness of supplier's smelter information on Declaration tab cell D51</v>
      </c>
      <c r="D40" s="315" t="str">
        <f>IF(H40=1,"Click here to answer question 6 for Tin","")</f>
        <v>Click here to answer question 6 for Tin</v>
      </c>
      <c r="E40" s="81" t="s">
        <v>806</v>
      </c>
      <c r="F40" s="104">
        <f>F25</f>
        <v>1</v>
      </c>
      <c r="G40" s="78">
        <f>IF(B40=0,1,0)</f>
        <v>1</v>
      </c>
      <c r="H40" s="79">
        <f>F40*G40</f>
        <v>1</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f>IF(AND($B$15="Yes",$B$20="Yes"),Declaration!D63,0)</f>
        <v>0</v>
      </c>
      <c r="C45" s="99" t="str">
        <f ca="1">IF(H45=1,J45,I45)</f>
        <v>Declare if all smelter names have been provided in this survey response under the scope of products declared on the Declaration tab cell D57</v>
      </c>
      <c r="D45" s="314" t="str">
        <f>IF(H45=1,"Click here to answer question 7 for Tin","")</f>
        <v>Click here to answer question 7 for Tin</v>
      </c>
      <c r="E45" s="81" t="s">
        <v>1303</v>
      </c>
      <c r="F45" s="104">
        <f>F25</f>
        <v>1</v>
      </c>
      <c r="G45" s="78">
        <f>IF(B45=0,1,0)</f>
        <v>1</v>
      </c>
      <c r="H45" s="79">
        <f>F45*G45</f>
        <v>1</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f>IF(AND($B$15="Yes",$B$20="Yes"),Declaration!D69,0)</f>
        <v>0</v>
      </c>
      <c r="C50" s="99" t="str">
        <f ca="1">IF(H50=1,J50,I50)</f>
        <v>Declare if all applicable Tin smelter information has been provided on Declaration tab cell D63</v>
      </c>
      <c r="D50" s="315" t="str">
        <f>IF(H50=1,"Click here to answer question 8 for Tin","")</f>
        <v>Click here to answer question 8 for Tin</v>
      </c>
      <c r="E50" s="81" t="s">
        <v>807</v>
      </c>
      <c r="F50" s="104">
        <f>F25</f>
        <v>1</v>
      </c>
      <c r="G50" s="78">
        <f>IF(B50=0,1,0)</f>
        <v>1</v>
      </c>
      <c r="H50" s="79">
        <f>F50*G50</f>
        <v>1</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No</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1</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7</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6" priority="358" stopIfTrue="1">
      <formula>$H$56=0</formula>
    </cfRule>
  </conditionalFormatting>
  <conditionalFormatting sqref="B66">
    <cfRule type="expression" dxfId="15" priority="39" stopIfTrue="1">
      <formula>IF(F66=0,TRUE)</formula>
    </cfRule>
  </conditionalFormatting>
  <conditionalFormatting sqref="B67">
    <cfRule type="expression" dxfId="14" priority="35" stopIfTrue="1">
      <formula>IF(F67=0,TRUE)</formula>
    </cfRule>
  </conditionalFormatting>
  <conditionalFormatting sqref="B68:B69">
    <cfRule type="expression" dxfId="13" priority="31" stopIfTrue="1">
      <formula>IF(F68=0,TRUE)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6e8a5f3d-031c-4996-804e-0e28298fe1e2"/>
    <ds:schemaRef ds:uri="http://purl.org/dc/dcmitype/"/>
    <ds:schemaRef ds:uri="http://purl.org/dc/elements/1.1/"/>
    <ds:schemaRef ds:uri="a54701f6-876b-4337-a24e-543e1bd311e6"/>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Scott McCloskey</cp:lastModifiedBy>
  <cp:lastPrinted>2015-04-21T20:47:43Z</cp:lastPrinted>
  <dcterms:created xsi:type="dcterms:W3CDTF">2010-06-21T21:00:23Z</dcterms:created>
  <dcterms:modified xsi:type="dcterms:W3CDTF">2023-01-02T12:24:42Z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